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arcin\Documents\MODERNIZAČNÍ FOND\VÝZVY - Záměry\VÝZVY\RES+\2022\"/>
    </mc:Choice>
  </mc:AlternateContent>
  <xr:revisionPtr revIDLastSave="0" documentId="13_ncr:1_{C83491CC-2332-4ABB-80E2-902A04E3B9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kyny k vyplnění" sheetId="2" r:id="rId1"/>
    <sheet name="FVE" sheetId="7" r:id="rId2"/>
    <sheet name="Bateriová úložiště" sheetId="8" r:id="rId3"/>
    <sheet name="Elektrolyzéry" sheetId="9" r:id="rId4"/>
    <sheet name="Souhrn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9" l="1"/>
  <c r="H5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3" i="7"/>
  <c r="T7" i="9"/>
  <c r="K54" i="7" l="1"/>
  <c r="J54" i="7"/>
  <c r="I3" i="9" l="1"/>
  <c r="N3" i="9" s="1"/>
  <c r="I4" i="9"/>
  <c r="N4" i="9" s="1"/>
  <c r="I5" i="9"/>
  <c r="N5" i="9" s="1"/>
  <c r="I6" i="9"/>
  <c r="N6" i="9" s="1"/>
  <c r="I7" i="9"/>
  <c r="N7" i="9" s="1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J3" i="9" l="1"/>
  <c r="I53" i="9"/>
  <c r="J4" i="9"/>
  <c r="J6" i="9"/>
  <c r="J49" i="9"/>
  <c r="J37" i="9"/>
  <c r="J29" i="9"/>
  <c r="J25" i="9"/>
  <c r="J17" i="9"/>
  <c r="J13" i="9"/>
  <c r="J9" i="9"/>
  <c r="J52" i="9"/>
  <c r="J48" i="9"/>
  <c r="J44" i="9"/>
  <c r="J40" i="9"/>
  <c r="J36" i="9"/>
  <c r="J32" i="9"/>
  <c r="J28" i="9"/>
  <c r="J24" i="9"/>
  <c r="J20" i="9"/>
  <c r="J16" i="9"/>
  <c r="J12" i="9"/>
  <c r="J8" i="9"/>
  <c r="J45" i="9"/>
  <c r="J51" i="9"/>
  <c r="J47" i="9"/>
  <c r="J43" i="9"/>
  <c r="J39" i="9"/>
  <c r="J35" i="9"/>
  <c r="J31" i="9"/>
  <c r="J27" i="9"/>
  <c r="J23" i="9"/>
  <c r="J19" i="9"/>
  <c r="J15" i="9"/>
  <c r="J11" i="9"/>
  <c r="J7" i="9"/>
  <c r="J5" i="9"/>
  <c r="J41" i="9"/>
  <c r="J33" i="9"/>
  <c r="J21" i="9"/>
  <c r="J50" i="9"/>
  <c r="J46" i="9"/>
  <c r="J42" i="9"/>
  <c r="J38" i="9"/>
  <c r="J34" i="9"/>
  <c r="J30" i="9"/>
  <c r="J26" i="9"/>
  <c r="J22" i="9"/>
  <c r="J18" i="9"/>
  <c r="J14" i="9"/>
  <c r="J10" i="9"/>
  <c r="D53" i="9"/>
  <c r="B14" i="4" s="1"/>
  <c r="B15" i="4" s="1"/>
  <c r="R6" i="9" l="1"/>
  <c r="T6" i="9" s="1"/>
  <c r="P7" i="9"/>
  <c r="P6" i="9"/>
  <c r="P5" i="9"/>
  <c r="P4" i="9"/>
  <c r="P3" i="9"/>
  <c r="F53" i="9"/>
  <c r="M53" i="9" s="1"/>
  <c r="D53" i="8" l="1"/>
  <c r="B13" i="4" s="1"/>
  <c r="F53" i="8" l="1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3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F54" i="7" l="1"/>
  <c r="D54" i="7"/>
  <c r="N14" i="4"/>
  <c r="B11" i="4" l="1"/>
  <c r="F3" i="8"/>
  <c r="I10" i="4"/>
  <c r="I9" i="4"/>
  <c r="I8" i="4"/>
  <c r="R3" i="9"/>
  <c r="T3" i="9" s="1"/>
  <c r="F8" i="8"/>
  <c r="F12" i="8"/>
  <c r="F16" i="8"/>
  <c r="F20" i="8"/>
  <c r="F24" i="8"/>
  <c r="F28" i="8"/>
  <c r="F32" i="8"/>
  <c r="F36" i="8"/>
  <c r="F40" i="8"/>
  <c r="F44" i="8"/>
  <c r="F48" i="8"/>
  <c r="F52" i="8"/>
  <c r="F5" i="8"/>
  <c r="F9" i="8"/>
  <c r="F13" i="8"/>
  <c r="F17" i="8"/>
  <c r="F21" i="8"/>
  <c r="F25" i="8"/>
  <c r="F29" i="8"/>
  <c r="F33" i="8"/>
  <c r="F37" i="8"/>
  <c r="F41" i="8"/>
  <c r="F45" i="8"/>
  <c r="F49" i="8"/>
  <c r="F4" i="8"/>
  <c r="F6" i="8"/>
  <c r="F10" i="8"/>
  <c r="F14" i="8"/>
  <c r="F18" i="8"/>
  <c r="F22" i="8"/>
  <c r="F26" i="8"/>
  <c r="F30" i="8"/>
  <c r="F34" i="8"/>
  <c r="F38" i="8"/>
  <c r="F42" i="8"/>
  <c r="F46" i="8"/>
  <c r="F50" i="8"/>
  <c r="F7" i="8"/>
  <c r="F11" i="8"/>
  <c r="F15" i="8"/>
  <c r="F19" i="8"/>
  <c r="F23" i="8"/>
  <c r="F27" i="8"/>
  <c r="F31" i="8"/>
  <c r="F35" i="8"/>
  <c r="F39" i="8"/>
  <c r="F43" i="8"/>
  <c r="F47" i="8"/>
  <c r="F51" i="8"/>
  <c r="R5" i="9"/>
  <c r="T5" i="9" s="1"/>
  <c r="Q7" i="9"/>
  <c r="Q5" i="9"/>
  <c r="Q4" i="9"/>
  <c r="R4" i="9"/>
  <c r="T4" i="9" s="1"/>
  <c r="Q6" i="9"/>
  <c r="Q3" i="9"/>
  <c r="F42" i="9"/>
  <c r="F11" i="9"/>
  <c r="F13" i="9"/>
  <c r="H30" i="9"/>
  <c r="H35" i="9"/>
  <c r="H36" i="9"/>
  <c r="H29" i="9"/>
  <c r="H5" i="9"/>
  <c r="H41" i="9"/>
  <c r="F36" i="9"/>
  <c r="F40" i="9"/>
  <c r="F16" i="9"/>
  <c r="H50" i="9"/>
  <c r="H9" i="9"/>
  <c r="H17" i="9"/>
  <c r="F6" i="9"/>
  <c r="F9" i="9"/>
  <c r="F32" i="9"/>
  <c r="H13" i="9"/>
  <c r="H21" i="9"/>
  <c r="F10" i="9"/>
  <c r="F30" i="9"/>
  <c r="H10" i="9"/>
  <c r="H47" i="9"/>
  <c r="H3" i="9"/>
  <c r="S3" i="9"/>
  <c r="U3" i="9" s="1"/>
  <c r="H3" i="8"/>
  <c r="H20" i="8"/>
  <c r="H36" i="8"/>
  <c r="H52" i="8"/>
  <c r="H17" i="8"/>
  <c r="H33" i="8"/>
  <c r="H49" i="8"/>
  <c r="H35" i="8"/>
  <c r="H14" i="8"/>
  <c r="H30" i="8"/>
  <c r="H46" i="8"/>
  <c r="H19" i="8"/>
  <c r="H43" i="8"/>
  <c r="F7" i="9"/>
  <c r="F24" i="9"/>
  <c r="F51" i="9"/>
  <c r="H46" i="9"/>
  <c r="H51" i="9"/>
  <c r="H52" i="9"/>
  <c r="F14" i="9"/>
  <c r="H42" i="9"/>
  <c r="F38" i="9"/>
  <c r="F50" i="9"/>
  <c r="F41" i="9"/>
  <c r="F49" i="9"/>
  <c r="H7" i="9"/>
  <c r="H8" i="9"/>
  <c r="F21" i="9"/>
  <c r="F5" i="9"/>
  <c r="F15" i="9"/>
  <c r="H6" i="9"/>
  <c r="H11" i="9"/>
  <c r="H28" i="9"/>
  <c r="F33" i="9"/>
  <c r="F31" i="9"/>
  <c r="H26" i="9"/>
  <c r="H37" i="9"/>
  <c r="H4" i="9"/>
  <c r="S6" i="9"/>
  <c r="H8" i="8"/>
  <c r="H24" i="8"/>
  <c r="H40" i="8"/>
  <c r="H4" i="8"/>
  <c r="H21" i="8"/>
  <c r="H37" i="8"/>
  <c r="H7" i="8"/>
  <c r="H47" i="8"/>
  <c r="H18" i="8"/>
  <c r="H34" i="8"/>
  <c r="H50" i="8"/>
  <c r="H23" i="8"/>
  <c r="H51" i="8"/>
  <c r="F22" i="9"/>
  <c r="F18" i="9"/>
  <c r="F46" i="9"/>
  <c r="F17" i="9"/>
  <c r="H45" i="9"/>
  <c r="F8" i="9"/>
  <c r="F52" i="9"/>
  <c r="F12" i="9"/>
  <c r="H23" i="9"/>
  <c r="F25" i="9"/>
  <c r="F28" i="9"/>
  <c r="H27" i="9"/>
  <c r="H25" i="9"/>
  <c r="S5" i="9"/>
  <c r="U5" i="9" s="1"/>
  <c r="H12" i="8"/>
  <c r="H44" i="8"/>
  <c r="H25" i="8"/>
  <c r="H11" i="8"/>
  <c r="H22" i="8"/>
  <c r="H6" i="8"/>
  <c r="F20" i="9"/>
  <c r="H14" i="9"/>
  <c r="H20" i="9"/>
  <c r="F44" i="9"/>
  <c r="F29" i="9"/>
  <c r="F37" i="9"/>
  <c r="H39" i="9"/>
  <c r="F4" i="9"/>
  <c r="F19" i="9"/>
  <c r="H43" i="9"/>
  <c r="F26" i="9"/>
  <c r="H15" i="9"/>
  <c r="S4" i="9"/>
  <c r="U4" i="9" s="1"/>
  <c r="H16" i="8"/>
  <c r="H48" i="8"/>
  <c r="H29" i="8"/>
  <c r="H27" i="8"/>
  <c r="H26" i="8"/>
  <c r="H15" i="8"/>
  <c r="F34" i="9"/>
  <c r="H33" i="9"/>
  <c r="H49" i="9"/>
  <c r="H31" i="9"/>
  <c r="F23" i="9"/>
  <c r="H18" i="9"/>
  <c r="H24" i="9"/>
  <c r="F39" i="9"/>
  <c r="H22" i="9"/>
  <c r="H44" i="9"/>
  <c r="F35" i="9"/>
  <c r="H16" i="9"/>
  <c r="S7" i="9"/>
  <c r="H28" i="8"/>
  <c r="H9" i="8"/>
  <c r="H41" i="8"/>
  <c r="H5" i="8"/>
  <c r="H38" i="8"/>
  <c r="H31" i="8"/>
  <c r="F47" i="9"/>
  <c r="H19" i="9"/>
  <c r="H12" i="9"/>
  <c r="H32" i="9"/>
  <c r="F27" i="9"/>
  <c r="H34" i="9"/>
  <c r="H40" i="9"/>
  <c r="F43" i="9"/>
  <c r="H38" i="9"/>
  <c r="F45" i="9"/>
  <c r="F48" i="9"/>
  <c r="H48" i="9"/>
  <c r="H32" i="8"/>
  <c r="H13" i="8"/>
  <c r="H45" i="8"/>
  <c r="H10" i="8"/>
  <c r="H42" i="8"/>
  <c r="H39" i="8"/>
  <c r="M20" i="7"/>
  <c r="M24" i="7"/>
  <c r="B12" i="4"/>
  <c r="N15" i="4" l="1"/>
  <c r="I7" i="4"/>
  <c r="H53" i="9"/>
  <c r="H9" i="4" s="1"/>
  <c r="L8" i="9"/>
  <c r="M8" i="9"/>
  <c r="M18" i="9"/>
  <c r="L18" i="9"/>
  <c r="M33" i="9"/>
  <c r="L33" i="9"/>
  <c r="L15" i="9"/>
  <c r="M15" i="9"/>
  <c r="L38" i="9"/>
  <c r="M38" i="9"/>
  <c r="L7" i="9"/>
  <c r="M7" i="9"/>
  <c r="L6" i="9"/>
  <c r="O6" i="9" s="1"/>
  <c r="M6" i="9"/>
  <c r="M16" i="9"/>
  <c r="L16" i="9"/>
  <c r="L43" i="9"/>
  <c r="M43" i="9"/>
  <c r="M35" i="9"/>
  <c r="L35" i="9"/>
  <c r="M26" i="9"/>
  <c r="L26" i="9"/>
  <c r="M3" i="9"/>
  <c r="L3" i="9"/>
  <c r="O3" i="9" s="1"/>
  <c r="L22" i="9"/>
  <c r="M22" i="9"/>
  <c r="M5" i="9"/>
  <c r="L5" i="9"/>
  <c r="O5" i="9" s="1"/>
  <c r="M49" i="9"/>
  <c r="L49" i="9"/>
  <c r="H53" i="8"/>
  <c r="H8" i="4" s="1"/>
  <c r="F24" i="4" s="1"/>
  <c r="L40" i="9"/>
  <c r="M40" i="9"/>
  <c r="M13" i="9"/>
  <c r="L13" i="9"/>
  <c r="M48" i="9"/>
  <c r="L48" i="9"/>
  <c r="M37" i="9"/>
  <c r="L37" i="9"/>
  <c r="M12" i="9"/>
  <c r="L12" i="9"/>
  <c r="L17" i="9"/>
  <c r="M17" i="9"/>
  <c r="L21" i="9"/>
  <c r="M21" i="9"/>
  <c r="M41" i="9"/>
  <c r="L41" i="9"/>
  <c r="M14" i="9"/>
  <c r="L14" i="9"/>
  <c r="M51" i="9"/>
  <c r="L51" i="9"/>
  <c r="L30" i="9"/>
  <c r="M30" i="9"/>
  <c r="L32" i="9"/>
  <c r="M32" i="9"/>
  <c r="M36" i="9"/>
  <c r="L36" i="9"/>
  <c r="L11" i="9"/>
  <c r="M11" i="9"/>
  <c r="M45" i="9"/>
  <c r="L45" i="9"/>
  <c r="L23" i="9"/>
  <c r="M23" i="9"/>
  <c r="L34" i="9"/>
  <c r="M34" i="9"/>
  <c r="M19" i="9"/>
  <c r="L19" i="9"/>
  <c r="M29" i="9"/>
  <c r="L29" i="9"/>
  <c r="L20" i="9"/>
  <c r="M20" i="9"/>
  <c r="M28" i="9"/>
  <c r="L28" i="9"/>
  <c r="M52" i="9"/>
  <c r="L52" i="9"/>
  <c r="M46" i="9"/>
  <c r="L46" i="9"/>
  <c r="L31" i="9"/>
  <c r="M31" i="9"/>
  <c r="L50" i="9"/>
  <c r="M50" i="9"/>
  <c r="L24" i="9"/>
  <c r="M24" i="9"/>
  <c r="L10" i="9"/>
  <c r="M10" i="9"/>
  <c r="L9" i="9"/>
  <c r="M9" i="9"/>
  <c r="L42" i="9"/>
  <c r="M42" i="9"/>
  <c r="M27" i="9"/>
  <c r="L27" i="9"/>
  <c r="L47" i="9"/>
  <c r="M47" i="9"/>
  <c r="L39" i="9"/>
  <c r="M39" i="9"/>
  <c r="M4" i="9"/>
  <c r="L4" i="9"/>
  <c r="O4" i="9" s="1"/>
  <c r="L44" i="9"/>
  <c r="M44" i="9"/>
  <c r="M25" i="9"/>
  <c r="L25" i="9"/>
  <c r="M8" i="7"/>
  <c r="M48" i="7"/>
  <c r="M52" i="7"/>
  <c r="M38" i="7"/>
  <c r="M36" i="7"/>
  <c r="M28" i="7"/>
  <c r="M12" i="7"/>
  <c r="M39" i="7"/>
  <c r="M23" i="7"/>
  <c r="M7" i="7"/>
  <c r="M42" i="7"/>
  <c r="M26" i="7"/>
  <c r="M10" i="7"/>
  <c r="M44" i="7"/>
  <c r="M49" i="7"/>
  <c r="M33" i="7"/>
  <c r="M17" i="7"/>
  <c r="M51" i="7"/>
  <c r="M35" i="7"/>
  <c r="M19" i="7"/>
  <c r="M22" i="7"/>
  <c r="M6" i="7"/>
  <c r="M32" i="7"/>
  <c r="M45" i="7"/>
  <c r="M29" i="7"/>
  <c r="M13" i="7"/>
  <c r="M40" i="7"/>
  <c r="M16" i="7"/>
  <c r="M47" i="7"/>
  <c r="M31" i="7"/>
  <c r="M15" i="7"/>
  <c r="M50" i="7"/>
  <c r="M34" i="7"/>
  <c r="M18" i="7"/>
  <c r="M4" i="7"/>
  <c r="M41" i="7"/>
  <c r="M25" i="7"/>
  <c r="M9" i="7"/>
  <c r="M43" i="7"/>
  <c r="M27" i="7"/>
  <c r="M11" i="7"/>
  <c r="M46" i="7"/>
  <c r="M30" i="7"/>
  <c r="M14" i="7"/>
  <c r="M3" i="7"/>
  <c r="L54" i="7"/>
  <c r="M37" i="7"/>
  <c r="M21" i="7"/>
  <c r="M5" i="7"/>
  <c r="H14" i="4" l="1"/>
  <c r="I14" i="4" s="1"/>
  <c r="J14" i="4" s="1"/>
  <c r="I11" i="4"/>
  <c r="M54" i="7"/>
  <c r="H7" i="4"/>
  <c r="F22" i="4" s="1"/>
  <c r="H13" i="4" l="1"/>
  <c r="I13" i="4" s="1"/>
  <c r="J13" i="4" s="1"/>
  <c r="J9" i="4"/>
  <c r="F26" i="4" s="1"/>
  <c r="H10" i="4"/>
  <c r="H11" i="4" l="1"/>
  <c r="F28" i="4"/>
  <c r="H15" i="4"/>
  <c r="H16" i="4"/>
  <c r="I16" i="4" s="1"/>
  <c r="J16" i="4" s="1"/>
  <c r="I15" i="4" l="1"/>
  <c r="H18" i="4"/>
  <c r="J15" i="4" l="1"/>
  <c r="J18" i="4" s="1"/>
  <c r="I18" i="4"/>
  <c r="K18" i="4" l="1"/>
  <c r="F30" i="4" s="1"/>
</calcChain>
</file>

<file path=xl/sharedStrings.xml><?xml version="1.0" encoding="utf-8"?>
<sst xmlns="http://schemas.openxmlformats.org/spreadsheetml/2006/main" count="70" uniqueCount="59">
  <si>
    <t>Max. dotace (Kč)</t>
  </si>
  <si>
    <t>Velikost podniku:</t>
  </si>
  <si>
    <t>Malý podnik</t>
  </si>
  <si>
    <t>Střední podnik</t>
  </si>
  <si>
    <t>Velký podnik</t>
  </si>
  <si>
    <t>Místo realizace projektu:</t>
  </si>
  <si>
    <t>Praha</t>
  </si>
  <si>
    <t>Region a)</t>
  </si>
  <si>
    <t>Region c)</t>
  </si>
  <si>
    <t>Celkem pozemní instalace FVE ze všech PM</t>
  </si>
  <si>
    <t>Celkem střešní instalace FVE ze všech PM</t>
  </si>
  <si>
    <t>kWh</t>
  </si>
  <si>
    <t>kW</t>
  </si>
  <si>
    <t>GBER</t>
  </si>
  <si>
    <t>Zvolte velikost podniku</t>
  </si>
  <si>
    <t>Zvolte místo realizace</t>
  </si>
  <si>
    <t>CELKEM</t>
  </si>
  <si>
    <t>Vypočítaný přibližný příkon elektrolyzéru</t>
  </si>
  <si>
    <t>Kapacita akumulace ze všech PM</t>
  </si>
  <si>
    <t>Hodinová výroba vodíku ve všech PM</t>
  </si>
  <si>
    <t>poz</t>
  </si>
  <si>
    <t>stř</t>
  </si>
  <si>
    <t>FVE</t>
  </si>
  <si>
    <t>kontrola</t>
  </si>
  <si>
    <t>Bateriová úložiště</t>
  </si>
  <si>
    <t>Elektrolyzéry</t>
  </si>
  <si>
    <t>Náklady FVE</t>
  </si>
  <si>
    <t>Náklady AKU</t>
  </si>
  <si>
    <t>Náklady elektrolyzér</t>
  </si>
  <si>
    <t>dotace dle parametrů</t>
  </si>
  <si>
    <t>dotace dle GBER</t>
  </si>
  <si>
    <t>Energetický management a řídící technika</t>
  </si>
  <si>
    <t>Zbývající kapacita k dispozici k podpoře (kWh)</t>
  </si>
  <si>
    <t>suma</t>
  </si>
  <si>
    <t>zbývá příkon</t>
  </si>
  <si>
    <t>příkon kW</t>
  </si>
  <si>
    <t>MIN GBER</t>
  </si>
  <si>
    <t>.</t>
  </si>
  <si>
    <t>,</t>
  </si>
  <si>
    <t>pozemní instalace FVE (kW)</t>
  </si>
  <si>
    <t>Upozornění a Informace</t>
  </si>
  <si>
    <t>-</t>
  </si>
  <si>
    <t>PŘEDÁVACÍ MÍSTO
(číslo/znak)</t>
  </si>
  <si>
    <t>střešní instalace FVE (kW)</t>
  </si>
  <si>
    <r>
      <t xml:space="preserve">1.  Uveďte </t>
    </r>
    <r>
      <rPr>
        <b/>
        <sz val="10"/>
        <rFont val="Calibri"/>
        <family val="2"/>
        <charset val="238"/>
        <scheme val="minor"/>
      </rPr>
      <t>VÝKONY INSTALOVANÝCH FVE</t>
    </r>
    <r>
      <rPr>
        <sz val="10"/>
        <rFont val="Calibri"/>
        <family val="2"/>
        <charset val="238"/>
        <scheme val="minor"/>
      </rPr>
      <t xml:space="preserve"> (v kW) za jednotlivé předávací místo</t>
    </r>
  </si>
  <si>
    <t>KAPACITA AKUMULACE
(kWh)</t>
  </si>
  <si>
    <r>
      <t xml:space="preserve">2.  Uveďte </t>
    </r>
    <r>
      <rPr>
        <b/>
        <sz val="10"/>
        <rFont val="Calibri"/>
        <family val="2"/>
        <charset val="238"/>
        <scheme val="minor"/>
      </rPr>
      <t>KAPACITY BATERIOVÝCH ULOŽIŠŤ</t>
    </r>
    <r>
      <rPr>
        <sz val="10"/>
        <rFont val="Calibri"/>
        <family val="2"/>
        <charset val="238"/>
        <scheme val="minor"/>
      </rPr>
      <t xml:space="preserve"> (v kWh) za jednotlivé předávací místo</t>
    </r>
  </si>
  <si>
    <r>
      <t>HODINOVÁ VÝROBA VODÍKU (m</t>
    </r>
    <r>
      <rPr>
        <b/>
        <vertAlign val="superscript"/>
        <sz val="10"/>
        <color theme="0"/>
        <rFont val="Calibri"/>
        <family val="2"/>
        <charset val="238"/>
        <scheme val="minor"/>
      </rPr>
      <t>3</t>
    </r>
    <r>
      <rPr>
        <b/>
        <sz val="10"/>
        <color theme="0"/>
        <rFont val="Calibri"/>
        <family val="2"/>
        <charset val="238"/>
        <scheme val="minor"/>
      </rPr>
      <t>/hod)</t>
    </r>
  </si>
  <si>
    <r>
      <t xml:space="preserve">3.  Uveďte hodinovou </t>
    </r>
    <r>
      <rPr>
        <b/>
        <sz val="10"/>
        <rFont val="Calibri"/>
        <family val="2"/>
        <charset val="238"/>
        <scheme val="minor"/>
      </rPr>
      <t>VÝROBNÍ KAPACITU ELEKTROLYZÉRŮ</t>
    </r>
    <r>
      <rPr>
        <sz val="10"/>
        <rFont val="Calibri"/>
        <family val="2"/>
        <charset val="238"/>
        <scheme val="minor"/>
      </rPr>
      <t xml:space="preserve"> (v m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/hod) za jednotlivé předávací místo</t>
    </r>
  </si>
  <si>
    <r>
      <t>Zbývající kapacita výroby vodíku (m</t>
    </r>
    <r>
      <rPr>
        <b/>
        <i/>
        <vertAlign val="superscript"/>
        <sz val="10"/>
        <color theme="0"/>
        <rFont val="Calibri"/>
        <family val="2"/>
        <charset val="238"/>
        <scheme val="minor"/>
      </rPr>
      <t>3</t>
    </r>
    <r>
      <rPr>
        <b/>
        <i/>
        <sz val="10"/>
        <color theme="0"/>
        <rFont val="Calibri"/>
        <family val="2"/>
        <charset val="238"/>
        <scheme val="minor"/>
      </rPr>
      <t>/hod) k podpoře (odhad)</t>
    </r>
  </si>
  <si>
    <r>
      <t>m</t>
    </r>
    <r>
      <rPr>
        <b/>
        <vertAlign val="superscript"/>
        <sz val="10"/>
        <color theme="1"/>
        <rFont val="Calibri"/>
        <family val="2"/>
        <charset val="238"/>
        <scheme val="minor"/>
      </rPr>
      <t>3</t>
    </r>
    <r>
      <rPr>
        <b/>
        <sz val="10"/>
        <color theme="1"/>
        <rFont val="Calibri"/>
        <family val="2"/>
        <charset val="238"/>
        <scheme val="minor"/>
      </rPr>
      <t>/hod</t>
    </r>
  </si>
  <si>
    <t>ROZPOČET</t>
  </si>
  <si>
    <r>
      <t xml:space="preserve">4.  Uveďte lokalitu projektu a způsobilé výdaje a </t>
    </r>
    <r>
      <rPr>
        <b/>
        <sz val="10"/>
        <rFont val="Calibri"/>
        <family val="2"/>
        <charset val="238"/>
        <scheme val="minor"/>
      </rPr>
      <t>SOUHRN</t>
    </r>
    <r>
      <rPr>
        <sz val="10"/>
        <rFont val="Calibri"/>
        <family val="2"/>
        <charset val="238"/>
        <scheme val="minor"/>
      </rPr>
      <t xml:space="preserve"> vytiskněte</t>
    </r>
  </si>
  <si>
    <r>
      <t xml:space="preserve">Souhrná maximální výše dotace na celý projekt </t>
    </r>
    <r>
      <rPr>
        <sz val="11"/>
        <rFont val="Calibri"/>
        <family val="2"/>
        <charset val="238"/>
        <scheme val="minor"/>
      </rPr>
      <t>(</t>
    </r>
    <r>
      <rPr>
        <i/>
        <sz val="11"/>
        <rFont val="Calibri"/>
        <family val="2"/>
        <charset val="238"/>
        <scheme val="minor"/>
      </rPr>
      <t>zohledňující místo realizace a velikosti podniku</t>
    </r>
    <r>
      <rPr>
        <sz val="11"/>
        <rFont val="Calibri"/>
        <family val="2"/>
        <charset val="238"/>
        <scheme val="minor"/>
      </rPr>
      <t>)</t>
    </r>
    <r>
      <rPr>
        <b/>
        <sz val="11"/>
        <rFont val="Calibri"/>
        <family val="2"/>
        <charset val="238"/>
        <scheme val="minor"/>
      </rPr>
      <t xml:space="preserve"> [Kč]</t>
    </r>
  </si>
  <si>
    <t>MAXIMÁLNÍ VÝŠE DOTACE 
(v Kč)</t>
  </si>
  <si>
    <t>NÁZEV PROJEKTU</t>
  </si>
  <si>
    <t>Doplňte 
CELKOVÉ VÝDAJE 
dle rozpočtu v Kč</t>
  </si>
  <si>
    <t>Doplňte 
ZPŮSOBILÉ VÝDAJE 
dle rozpočtu v Kč</t>
  </si>
  <si>
    <t>po doplnění list uložte do .pdf formátu a přiložte k žádosti o podporu z programu RES+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</si>
</sst>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Kč&quot;_-;\-* #,##0\ &quot;Kč&quot;_-;_-* &quot;-&quot;\ &quot;Kč&quot;_-;_-@_-"/>
    <numFmt numFmtId="43" formatCode="_-* #,##0.00_-;\-* #,##0.00_-;_-* &quot;-&quot;??_-;_-@_-"/>
    <numFmt numFmtId="164" formatCode="#,##0.0"/>
    <numFmt numFmtId="165" formatCode="#,##0.00_ ;\-#,##0.00\ "/>
    <numFmt numFmtId="166" formatCode="#,##0.0_ ;\-#,##0.0\ "/>
    <numFmt numFmtId="167" formatCode="0.0%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0"/>
      <color theme="0" tint="-0.34998626667073579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 tint="-0.34998626667073579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b/>
      <vertAlign val="superscript"/>
      <sz val="10"/>
      <color theme="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i/>
      <vertAlign val="superscript"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color theme="0" tint="-0.49998474074526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 style="thick">
        <color theme="0"/>
      </top>
      <bottom/>
      <diagonal/>
    </border>
    <border>
      <left style="thick">
        <color theme="0" tint="-0.34998626667073579"/>
      </left>
      <right style="thick">
        <color theme="0" tint="-0.34998626667073579"/>
      </right>
      <top/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 style="thin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/>
      <right style="thin">
        <color theme="0" tint="-0.34998626667073579"/>
      </right>
      <top style="thick">
        <color theme="0" tint="-0.34998626667073579"/>
      </top>
      <bottom style="thick">
        <color theme="0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/>
      <bottom style="thick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ck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 style="thick">
        <color theme="0"/>
      </top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14" fillId="2" borderId="4" xfId="0" applyFont="1" applyFill="1" applyBorder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0" fillId="3" borderId="0" xfId="0" applyFill="1"/>
    <xf numFmtId="0" fontId="14" fillId="2" borderId="2" xfId="0" applyFont="1" applyFill="1" applyBorder="1" applyAlignment="1" applyProtection="1">
      <alignment horizontal="center"/>
      <protection hidden="1"/>
    </xf>
    <xf numFmtId="0" fontId="14" fillId="2" borderId="3" xfId="0" applyFont="1" applyFill="1" applyBorder="1" applyAlignment="1" applyProtection="1">
      <alignment horizontal="center"/>
      <protection hidden="1"/>
    </xf>
    <xf numFmtId="0" fontId="13" fillId="3" borderId="8" xfId="0" applyFont="1" applyFill="1" applyBorder="1" applyAlignment="1" applyProtection="1">
      <alignment horizontal="center"/>
      <protection hidden="1"/>
    </xf>
    <xf numFmtId="0" fontId="6" fillId="3" borderId="0" xfId="0" applyFont="1" applyFill="1"/>
    <xf numFmtId="0" fontId="8" fillId="3" borderId="4" xfId="0" applyFont="1" applyFill="1" applyBorder="1" applyAlignment="1" applyProtection="1">
      <alignment horizontal="center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43" fontId="18" fillId="2" borderId="2" xfId="1" applyFont="1" applyFill="1" applyBorder="1" applyAlignment="1" applyProtection="1">
      <alignment horizontal="center" vertical="center"/>
      <protection hidden="1"/>
    </xf>
    <xf numFmtId="0" fontId="7" fillId="2" borderId="18" xfId="0" applyFont="1" applyFill="1" applyBorder="1" applyAlignment="1" applyProtection="1">
      <alignment horizontal="center" vertical="center" wrapText="1"/>
      <protection hidden="1"/>
    </xf>
    <xf numFmtId="0" fontId="7" fillId="2" borderId="27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Protection="1">
      <protection hidden="1"/>
    </xf>
    <xf numFmtId="0" fontId="0" fillId="0" borderId="0" xfId="0" applyProtection="1">
      <protection hidden="1"/>
    </xf>
    <xf numFmtId="0" fontId="0" fillId="2" borderId="5" xfId="0" applyFill="1" applyBorder="1" applyAlignment="1" applyProtection="1">
      <alignment wrapText="1"/>
      <protection hidden="1"/>
    </xf>
    <xf numFmtId="0" fontId="10" fillId="2" borderId="0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2" fontId="9" fillId="2" borderId="2" xfId="0" applyNumberFormat="1" applyFont="1" applyFill="1" applyBorder="1" applyProtection="1">
      <protection hidden="1"/>
    </xf>
    <xf numFmtId="0" fontId="12" fillId="2" borderId="11" xfId="0" applyFont="1" applyFill="1" applyBorder="1" applyProtection="1">
      <protection hidden="1"/>
    </xf>
    <xf numFmtId="0" fontId="15" fillId="4" borderId="9" xfId="0" applyFont="1" applyFill="1" applyBorder="1" applyAlignment="1" applyProtection="1">
      <alignment horizontal="left" indent="1"/>
      <protection hidden="1"/>
    </xf>
    <xf numFmtId="164" fontId="20" fillId="0" borderId="0" xfId="0" applyNumberFormat="1" applyFont="1" applyProtection="1">
      <protection hidden="1"/>
    </xf>
    <xf numFmtId="165" fontId="20" fillId="0" borderId="0" xfId="1" applyNumberFormat="1" applyFont="1" applyProtection="1">
      <protection hidden="1"/>
    </xf>
    <xf numFmtId="2" fontId="9" fillId="2" borderId="3" xfId="0" applyNumberFormat="1" applyFont="1" applyFill="1" applyBorder="1" applyProtection="1">
      <protection hidden="1"/>
    </xf>
    <xf numFmtId="0" fontId="12" fillId="2" borderId="12" xfId="0" applyFont="1" applyFill="1" applyBorder="1" applyProtection="1">
      <protection hidden="1"/>
    </xf>
    <xf numFmtId="0" fontId="15" fillId="4" borderId="10" xfId="0" applyFont="1" applyFill="1" applyBorder="1" applyAlignment="1" applyProtection="1">
      <alignment horizontal="left" indent="1"/>
      <protection hidden="1"/>
    </xf>
    <xf numFmtId="2" fontId="9" fillId="2" borderId="4" xfId="0" applyNumberFormat="1" applyFont="1" applyFill="1" applyBorder="1" applyProtection="1">
      <protection hidden="1"/>
    </xf>
    <xf numFmtId="0" fontId="12" fillId="2" borderId="13" xfId="0" applyFont="1" applyFill="1" applyBorder="1" applyProtection="1">
      <protection hidden="1"/>
    </xf>
    <xf numFmtId="0" fontId="15" fillId="4" borderId="8" xfId="0" applyFont="1" applyFill="1" applyBorder="1" applyAlignment="1" applyProtection="1">
      <alignment horizontal="left" indent="1"/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2" fontId="12" fillId="3" borderId="8" xfId="0" applyNumberFormat="1" applyFont="1" applyFill="1" applyBorder="1" applyAlignment="1" applyProtection="1">
      <alignment horizontal="right" vertical="center" indent="3"/>
      <protection hidden="1"/>
    </xf>
    <xf numFmtId="2" fontId="12" fillId="3" borderId="8" xfId="0" applyNumberFormat="1" applyFont="1" applyFill="1" applyBorder="1" applyProtection="1">
      <protection hidden="1"/>
    </xf>
    <xf numFmtId="0" fontId="12" fillId="3" borderId="8" xfId="0" applyFont="1" applyFill="1" applyBorder="1" applyProtection="1">
      <protection hidden="1"/>
    </xf>
    <xf numFmtId="0" fontId="15" fillId="3" borderId="8" xfId="0" applyNumberFormat="1" applyFont="1" applyFill="1" applyBorder="1" applyAlignment="1" applyProtection="1">
      <alignment horizontal="left" indent="2"/>
      <protection hidden="1"/>
    </xf>
    <xf numFmtId="164" fontId="20" fillId="3" borderId="0" xfId="0" applyNumberFormat="1" applyFont="1" applyFill="1" applyBorder="1" applyProtection="1">
      <protection hidden="1"/>
    </xf>
    <xf numFmtId="165" fontId="20" fillId="3" borderId="0" xfId="1" applyNumberFormat="1" applyFont="1" applyFill="1" applyBorder="1" applyProtection="1">
      <protection hidden="1"/>
    </xf>
    <xf numFmtId="0" fontId="0" fillId="0" borderId="0" xfId="0" applyBorder="1" applyProtection="1">
      <protection hidden="1"/>
    </xf>
    <xf numFmtId="0" fontId="0" fillId="2" borderId="14" xfId="0" applyFill="1" applyBorder="1" applyAlignment="1" applyProtection="1">
      <alignment wrapText="1"/>
      <protection hidden="1"/>
    </xf>
    <xf numFmtId="43" fontId="21" fillId="5" borderId="2" xfId="1" applyFont="1" applyFill="1" applyBorder="1" applyAlignment="1" applyProtection="1">
      <alignment horizontal="center" vertical="center"/>
      <protection hidden="1"/>
    </xf>
    <xf numFmtId="165" fontId="21" fillId="5" borderId="2" xfId="1" applyNumberFormat="1" applyFont="1" applyFill="1" applyBorder="1" applyAlignment="1" applyProtection="1">
      <alignment horizontal="right" vertical="center" indent="2"/>
      <protection hidden="1"/>
    </xf>
    <xf numFmtId="165" fontId="17" fillId="2" borderId="2" xfId="1" applyNumberFormat="1" applyFont="1" applyFill="1" applyBorder="1" applyAlignment="1" applyProtection="1">
      <alignment horizontal="right" vertical="center" indent="3"/>
      <protection hidden="1"/>
    </xf>
    <xf numFmtId="43" fontId="17" fillId="2" borderId="2" xfId="1" applyFont="1" applyFill="1" applyBorder="1" applyAlignment="1" applyProtection="1">
      <alignment horizontal="right" vertical="center"/>
      <protection hidden="1"/>
    </xf>
    <xf numFmtId="0" fontId="16" fillId="2" borderId="2" xfId="0" applyFont="1" applyFill="1" applyBorder="1" applyAlignment="1" applyProtection="1">
      <alignment horizontal="left" vertical="center"/>
      <protection hidden="1"/>
    </xf>
    <xf numFmtId="164" fontId="20" fillId="3" borderId="0" xfId="0" applyNumberFormat="1" applyFont="1" applyFill="1" applyAlignment="1" applyProtection="1">
      <alignment vertical="center"/>
      <protection hidden="1"/>
    </xf>
    <xf numFmtId="165" fontId="20" fillId="3" borderId="0" xfId="1" applyNumberFormat="1" applyFont="1" applyFill="1" applyProtection="1">
      <protection hidden="1"/>
    </xf>
    <xf numFmtId="0" fontId="0" fillId="3" borderId="4" xfId="0" applyFill="1" applyBorder="1" applyAlignment="1" applyProtection="1">
      <alignment wrapText="1"/>
      <protection hidden="1"/>
    </xf>
    <xf numFmtId="0" fontId="0" fillId="3" borderId="4" xfId="0" applyFill="1" applyBorder="1" applyAlignment="1" applyProtection="1">
      <alignment horizontal="center"/>
      <protection hidden="1"/>
    </xf>
    <xf numFmtId="0" fontId="0" fillId="3" borderId="4" xfId="0" applyFill="1" applyBorder="1" applyProtection="1">
      <protection hidden="1"/>
    </xf>
    <xf numFmtId="0" fontId="20" fillId="3" borderId="0" xfId="0" applyFont="1" applyFill="1" applyBorder="1" applyProtection="1">
      <protection hidden="1"/>
    </xf>
    <xf numFmtId="0" fontId="20" fillId="3" borderId="0" xfId="0" applyFont="1" applyFill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2" borderId="7" xfId="0" applyFill="1" applyBorder="1" applyAlignment="1" applyProtection="1">
      <alignment wrapText="1"/>
      <protection hidden="1"/>
    </xf>
    <xf numFmtId="0" fontId="19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3" borderId="5" xfId="0" applyFill="1" applyBorder="1" applyAlignment="1" applyProtection="1">
      <alignment wrapText="1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0" fillId="3" borderId="7" xfId="0" applyFill="1" applyBorder="1" applyAlignment="1" applyProtection="1">
      <alignment wrapText="1"/>
      <protection hidden="1"/>
    </xf>
    <xf numFmtId="0" fontId="9" fillId="0" borderId="2" xfId="0" applyFont="1" applyBorder="1" applyAlignment="1" applyProtection="1">
      <alignment horizontal="center" vertical="center"/>
      <protection locked="0" hidden="1"/>
    </xf>
    <xf numFmtId="0" fontId="9" fillId="0" borderId="3" xfId="0" applyFont="1" applyBorder="1" applyAlignment="1" applyProtection="1">
      <alignment horizontal="center" vertical="center"/>
      <protection locked="0" hidden="1"/>
    </xf>
    <xf numFmtId="0" fontId="9" fillId="0" borderId="4" xfId="0" applyFont="1" applyBorder="1" applyAlignment="1" applyProtection="1">
      <alignment horizontal="center" vertical="center"/>
      <protection locked="0" hidden="1"/>
    </xf>
    <xf numFmtId="2" fontId="9" fillId="0" borderId="2" xfId="0" applyNumberFormat="1" applyFont="1" applyBorder="1" applyAlignment="1" applyProtection="1">
      <alignment horizontal="right" vertical="center" indent="3"/>
      <protection locked="0" hidden="1"/>
    </xf>
    <xf numFmtId="2" fontId="9" fillId="0" borderId="0" xfId="0" applyNumberFormat="1" applyFont="1" applyBorder="1" applyAlignment="1" applyProtection="1">
      <alignment horizontal="right" vertical="center" indent="3"/>
      <protection locked="0" hidden="1"/>
    </xf>
    <xf numFmtId="0" fontId="4" fillId="3" borderId="0" xfId="0" applyFont="1" applyFill="1" applyBorder="1" applyAlignment="1" applyProtection="1">
      <alignment vertical="center" wrapText="1"/>
      <protection hidden="1"/>
    </xf>
    <xf numFmtId="0" fontId="4" fillId="3" borderId="5" xfId="0" applyFont="1" applyFill="1" applyBorder="1" applyAlignment="1" applyProtection="1">
      <alignment vertical="center" wrapText="1"/>
      <protection hidden="1"/>
    </xf>
    <xf numFmtId="0" fontId="10" fillId="2" borderId="18" xfId="0" applyFont="1" applyFill="1" applyBorder="1" applyAlignment="1" applyProtection="1">
      <alignment horizontal="center" vertical="center" wrapText="1"/>
      <protection hidden="1"/>
    </xf>
    <xf numFmtId="0" fontId="11" fillId="2" borderId="18" xfId="0" applyFont="1" applyFill="1" applyBorder="1" applyAlignment="1" applyProtection="1">
      <alignment horizontal="center" vertical="center" wrapText="1"/>
      <protection hidden="1"/>
    </xf>
    <xf numFmtId="0" fontId="0" fillId="2" borderId="20" xfId="0" applyFill="1" applyBorder="1" applyAlignment="1" applyProtection="1">
      <alignment horizontal="center"/>
      <protection hidden="1"/>
    </xf>
    <xf numFmtId="0" fontId="0" fillId="2" borderId="20" xfId="0" applyFill="1" applyBorder="1" applyProtection="1">
      <protection hidden="1"/>
    </xf>
    <xf numFmtId="0" fontId="4" fillId="4" borderId="9" xfId="0" applyFont="1" applyFill="1" applyBorder="1" applyAlignment="1" applyProtection="1">
      <alignment horizontal="left" indent="1"/>
      <protection hidden="1"/>
    </xf>
    <xf numFmtId="165" fontId="1" fillId="0" borderId="0" xfId="1" applyNumberFormat="1" applyFont="1" applyProtection="1">
      <protection hidden="1"/>
    </xf>
    <xf numFmtId="0" fontId="0" fillId="2" borderId="16" xfId="0" applyFill="1" applyBorder="1" applyAlignment="1" applyProtection="1">
      <alignment horizontal="center"/>
      <protection hidden="1"/>
    </xf>
    <xf numFmtId="0" fontId="0" fillId="2" borderId="16" xfId="0" applyFill="1" applyBorder="1" applyProtection="1">
      <protection hidden="1"/>
    </xf>
    <xf numFmtId="0" fontId="4" fillId="4" borderId="10" xfId="0" applyFont="1" applyFill="1" applyBorder="1" applyAlignment="1" applyProtection="1">
      <alignment horizontal="left" indent="1"/>
      <protection hidden="1"/>
    </xf>
    <xf numFmtId="0" fontId="0" fillId="2" borderId="17" xfId="0" applyFill="1" applyBorder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4" fillId="4" borderId="8" xfId="0" applyFont="1" applyFill="1" applyBorder="1" applyAlignment="1" applyProtection="1">
      <alignment horizontal="left" indent="1"/>
      <protection hidden="1"/>
    </xf>
    <xf numFmtId="0" fontId="21" fillId="6" borderId="8" xfId="0" applyFont="1" applyFill="1" applyBorder="1" applyAlignment="1" applyProtection="1">
      <alignment horizontal="center" vertical="center"/>
      <protection hidden="1"/>
    </xf>
    <xf numFmtId="0" fontId="21" fillId="2" borderId="8" xfId="0" applyFont="1" applyFill="1" applyBorder="1" applyAlignment="1" applyProtection="1">
      <alignment horizontal="center"/>
      <protection hidden="1"/>
    </xf>
    <xf numFmtId="0" fontId="21" fillId="6" borderId="8" xfId="0" applyFont="1" applyFill="1" applyBorder="1" applyAlignment="1" applyProtection="1">
      <alignment horizontal="right" vertical="center" indent="2"/>
      <protection hidden="1"/>
    </xf>
    <xf numFmtId="0" fontId="21" fillId="2" borderId="8" xfId="0" applyFont="1" applyFill="1" applyBorder="1" applyAlignment="1" applyProtection="1">
      <alignment horizontal="right"/>
      <protection hidden="1"/>
    </xf>
    <xf numFmtId="0" fontId="21" fillId="6" borderId="8" xfId="0" applyFont="1" applyFill="1" applyBorder="1" applyAlignment="1" applyProtection="1">
      <alignment horizontal="left" vertical="center" indent="3"/>
      <protection hidden="1"/>
    </xf>
    <xf numFmtId="164" fontId="19" fillId="0" borderId="0" xfId="0" applyNumberFormat="1" applyFont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right"/>
      <protection hidden="1"/>
    </xf>
    <xf numFmtId="0" fontId="9" fillId="3" borderId="19" xfId="0" applyFont="1" applyFill="1" applyBorder="1" applyAlignment="1" applyProtection="1">
      <alignment horizontal="center" vertical="center"/>
      <protection locked="0" hidden="1"/>
    </xf>
    <xf numFmtId="0" fontId="9" fillId="3" borderId="3" xfId="0" applyFont="1" applyFill="1" applyBorder="1" applyAlignment="1" applyProtection="1">
      <alignment horizontal="center" vertical="center"/>
      <protection locked="0" hidden="1"/>
    </xf>
    <xf numFmtId="0" fontId="9" fillId="3" borderId="2" xfId="0" applyFont="1" applyFill="1" applyBorder="1" applyAlignment="1" applyProtection="1">
      <alignment horizontal="center" vertical="center"/>
      <protection locked="0" hidden="1"/>
    </xf>
    <xf numFmtId="0" fontId="9" fillId="3" borderId="4" xfId="0" applyFont="1" applyFill="1" applyBorder="1" applyAlignment="1" applyProtection="1">
      <alignment horizontal="center" vertical="center"/>
      <protection locked="0" hidden="1"/>
    </xf>
    <xf numFmtId="0" fontId="9" fillId="3" borderId="19" xfId="0" applyFont="1" applyFill="1" applyBorder="1" applyAlignment="1" applyProtection="1">
      <alignment horizontal="right" vertical="center" indent="2"/>
      <protection locked="0" hidden="1"/>
    </xf>
    <xf numFmtId="0" fontId="9" fillId="3" borderId="3" xfId="0" applyFont="1" applyFill="1" applyBorder="1" applyAlignment="1" applyProtection="1">
      <alignment horizontal="right" vertical="center" indent="2"/>
      <protection locked="0" hidden="1"/>
    </xf>
    <xf numFmtId="0" fontId="9" fillId="3" borderId="21" xfId="0" applyFont="1" applyFill="1" applyBorder="1" applyAlignment="1" applyProtection="1">
      <alignment horizontal="right" vertical="center" indent="2"/>
      <protection locked="0" hidden="1"/>
    </xf>
    <xf numFmtId="0" fontId="22" fillId="3" borderId="0" xfId="0" applyFont="1" applyFill="1" applyBorder="1" applyAlignment="1" applyProtection="1">
      <alignment vertical="center" wrapText="1"/>
      <protection hidden="1"/>
    </xf>
    <xf numFmtId="0" fontId="10" fillId="2" borderId="27" xfId="0" applyFont="1" applyFill="1" applyBorder="1" applyAlignment="1" applyProtection="1">
      <alignment horizontal="center" vertical="center" wrapText="1"/>
      <protection hidden="1"/>
    </xf>
    <xf numFmtId="0" fontId="11" fillId="2" borderId="27" xfId="0" applyFont="1" applyFill="1" applyBorder="1" applyAlignment="1" applyProtection="1">
      <alignment horizontal="center" vertical="center" wrapText="1"/>
      <protection hidden="1"/>
    </xf>
    <xf numFmtId="167" fontId="20" fillId="0" borderId="0" xfId="0" applyNumberFormat="1" applyFont="1" applyProtection="1">
      <protection hidden="1"/>
    </xf>
    <xf numFmtId="0" fontId="21" fillId="6" borderId="22" xfId="0" applyFont="1" applyFill="1" applyBorder="1" applyAlignment="1" applyProtection="1">
      <alignment horizontal="center" vertical="center"/>
      <protection hidden="1"/>
    </xf>
    <xf numFmtId="0" fontId="21" fillId="2" borderId="22" xfId="0" applyFont="1" applyFill="1" applyBorder="1" applyAlignment="1" applyProtection="1">
      <alignment horizontal="center"/>
      <protection hidden="1"/>
    </xf>
    <xf numFmtId="0" fontId="21" fillId="6" borderId="22" xfId="0" applyFont="1" applyFill="1" applyBorder="1" applyAlignment="1" applyProtection="1">
      <alignment horizontal="right" vertical="center" indent="2"/>
      <protection hidden="1"/>
    </xf>
    <xf numFmtId="0" fontId="21" fillId="2" borderId="22" xfId="0" applyFont="1" applyFill="1" applyBorder="1" applyAlignment="1" applyProtection="1">
      <alignment horizontal="right"/>
      <protection hidden="1"/>
    </xf>
    <xf numFmtId="0" fontId="21" fillId="6" borderId="22" xfId="0" applyFont="1" applyFill="1" applyBorder="1" applyAlignment="1" applyProtection="1">
      <alignment horizontal="left" vertical="center" indent="3"/>
      <protection hidden="1"/>
    </xf>
    <xf numFmtId="0" fontId="28" fillId="3" borderId="0" xfId="0" applyFont="1" applyFill="1" applyBorder="1" applyAlignment="1" applyProtection="1">
      <alignment vertical="center" wrapText="1"/>
      <protection hidden="1"/>
    </xf>
    <xf numFmtId="0" fontId="22" fillId="3" borderId="0" xfId="0" applyFont="1" applyFill="1" applyBorder="1" applyAlignment="1" applyProtection="1">
      <alignment horizontal="left" vertical="center" wrapText="1" indent="2"/>
      <protection hidden="1"/>
    </xf>
    <xf numFmtId="0" fontId="5" fillId="3" borderId="0" xfId="0" applyFont="1" applyFill="1" applyAlignment="1" applyProtection="1">
      <alignment horizontal="right" vertical="center" indent="1"/>
      <protection hidden="1"/>
    </xf>
    <xf numFmtId="0" fontId="3" fillId="3" borderId="0" xfId="0" applyFont="1" applyFill="1" applyProtection="1">
      <protection hidden="1"/>
    </xf>
    <xf numFmtId="0" fontId="3" fillId="3" borderId="5" xfId="0" applyFon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5" fillId="3" borderId="5" xfId="0" applyFont="1" applyFill="1" applyBorder="1" applyAlignment="1" applyProtection="1">
      <alignment horizontal="right" wrapText="1" indent="1"/>
      <protection hidden="1"/>
    </xf>
    <xf numFmtId="43" fontId="30" fillId="0" borderId="0" xfId="1" applyFont="1" applyProtection="1">
      <protection hidden="1"/>
    </xf>
    <xf numFmtId="3" fontId="0" fillId="3" borderId="0" xfId="0" applyNumberFormat="1" applyFill="1" applyBorder="1" applyProtection="1">
      <protection hidden="1"/>
    </xf>
    <xf numFmtId="166" fontId="30" fillId="0" borderId="0" xfId="1" applyNumberFormat="1" applyFont="1" applyProtection="1">
      <protection hidden="1"/>
    </xf>
    <xf numFmtId="0" fontId="3" fillId="8" borderId="5" xfId="0" applyFont="1" applyFill="1" applyBorder="1" applyProtection="1">
      <protection hidden="1"/>
    </xf>
    <xf numFmtId="0" fontId="0" fillId="8" borderId="0" xfId="0" applyFill="1" applyBorder="1" applyProtection="1">
      <protection hidden="1"/>
    </xf>
    <xf numFmtId="0" fontId="22" fillId="8" borderId="5" xfId="0" applyFont="1" applyFill="1" applyBorder="1" applyAlignment="1" applyProtection="1">
      <alignment horizontal="right" indent="1"/>
      <protection hidden="1"/>
    </xf>
    <xf numFmtId="0" fontId="9" fillId="8" borderId="29" xfId="0" applyFont="1" applyFill="1" applyBorder="1" applyAlignment="1" applyProtection="1">
      <alignment horizontal="right" indent="1"/>
      <protection hidden="1"/>
    </xf>
    <xf numFmtId="0" fontId="9" fillId="8" borderId="29" xfId="0" applyFont="1" applyFill="1" applyBorder="1" applyAlignment="1" applyProtection="1">
      <alignment horizontal="left" indent="1"/>
      <protection hidden="1"/>
    </xf>
    <xf numFmtId="0" fontId="9" fillId="3" borderId="0" xfId="0" applyFont="1" applyFill="1" applyBorder="1" applyAlignment="1" applyProtection="1">
      <alignment horizontal="left" indent="1"/>
      <protection hidden="1"/>
    </xf>
    <xf numFmtId="166" fontId="19" fillId="0" borderId="0" xfId="0" applyNumberFormat="1" applyFont="1" applyProtection="1">
      <protection hidden="1"/>
    </xf>
    <xf numFmtId="0" fontId="9" fillId="8" borderId="30" xfId="0" applyFont="1" applyFill="1" applyBorder="1" applyAlignment="1" applyProtection="1">
      <alignment horizontal="right" indent="1"/>
      <protection hidden="1"/>
    </xf>
    <xf numFmtId="0" fontId="9" fillId="8" borderId="30" xfId="0" applyFont="1" applyFill="1" applyBorder="1" applyAlignment="1" applyProtection="1">
      <alignment horizontal="left" indent="1"/>
      <protection hidden="1"/>
    </xf>
    <xf numFmtId="166" fontId="20" fillId="0" borderId="0" xfId="0" applyNumberFormat="1" applyFont="1" applyProtection="1"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4" fillId="8" borderId="5" xfId="0" applyFont="1" applyFill="1" applyBorder="1" applyAlignment="1" applyProtection="1">
      <alignment horizontal="right" indent="1"/>
      <protection hidden="1"/>
    </xf>
    <xf numFmtId="1" fontId="9" fillId="8" borderId="0" xfId="0" applyNumberFormat="1" applyFont="1" applyFill="1" applyBorder="1" applyAlignment="1" applyProtection="1">
      <alignment horizontal="right" indent="1"/>
      <protection hidden="1"/>
    </xf>
    <xf numFmtId="0" fontId="9" fillId="8" borderId="0" xfId="0" applyFont="1" applyFill="1" applyBorder="1" applyAlignment="1" applyProtection="1">
      <alignment horizontal="left" indent="1"/>
      <protection hidden="1"/>
    </xf>
    <xf numFmtId="43" fontId="20" fillId="0" borderId="0" xfId="1" applyFont="1" applyProtection="1">
      <protection hidden="1"/>
    </xf>
    <xf numFmtId="0" fontId="20" fillId="8" borderId="5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center" wrapText="1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3" fillId="8" borderId="0" xfId="0" applyFont="1" applyFill="1" applyBorder="1" applyProtection="1">
      <protection hidden="1"/>
    </xf>
    <xf numFmtId="0" fontId="9" fillId="8" borderId="0" xfId="0" applyFont="1" applyFill="1" applyBorder="1" applyAlignment="1" applyProtection="1">
      <alignment horizontal="center" vertical="center" wrapText="1"/>
      <protection hidden="1"/>
    </xf>
    <xf numFmtId="0" fontId="9" fillId="8" borderId="0" xfId="0" applyFont="1" applyFill="1" applyBorder="1" applyAlignment="1" applyProtection="1">
      <alignment horizontal="right" vertical="center" wrapText="1" indent="1"/>
      <protection hidden="1"/>
    </xf>
    <xf numFmtId="0" fontId="20" fillId="0" borderId="0" xfId="0" applyFont="1" applyFill="1" applyBorder="1" applyAlignment="1" applyProtection="1">
      <alignment horizontal="justify" vertical="top"/>
      <protection hidden="1"/>
    </xf>
    <xf numFmtId="0" fontId="3" fillId="3" borderId="0" xfId="0" applyFont="1" applyFill="1" applyBorder="1" applyProtection="1">
      <protection hidden="1"/>
    </xf>
    <xf numFmtId="0" fontId="9" fillId="3" borderId="0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horizontal="right" vertical="center" wrapText="1" indent="1"/>
      <protection hidden="1"/>
    </xf>
    <xf numFmtId="0" fontId="5" fillId="3" borderId="0" xfId="0" applyFont="1" applyFill="1" applyBorder="1" applyAlignment="1" applyProtection="1">
      <alignment horizontal="right" wrapText="1" indent="2"/>
      <protection hidden="1"/>
    </xf>
    <xf numFmtId="3" fontId="0" fillId="3" borderId="1" xfId="0" applyNumberFormat="1" applyFill="1" applyBorder="1" applyProtection="1">
      <protection hidden="1"/>
    </xf>
    <xf numFmtId="3" fontId="12" fillId="3" borderId="0" xfId="0" applyNumberFormat="1" applyFont="1" applyFill="1" applyBorder="1" applyAlignment="1" applyProtection="1">
      <alignment horizontal="right" vertical="center" indent="1"/>
      <protection hidden="1"/>
    </xf>
    <xf numFmtId="42" fontId="5" fillId="8" borderId="0" xfId="0" applyNumberFormat="1" applyFont="1" applyFill="1" applyBorder="1" applyAlignment="1" applyProtection="1">
      <alignment horizontal="right" vertical="center" indent="1"/>
      <protection hidden="1"/>
    </xf>
    <xf numFmtId="0" fontId="5" fillId="3" borderId="0" xfId="0" applyFont="1" applyFill="1" applyBorder="1" applyAlignment="1" applyProtection="1">
      <alignment horizontal="right" indent="2"/>
      <protection hidden="1"/>
    </xf>
    <xf numFmtId="42" fontId="0" fillId="3" borderId="0" xfId="0" applyNumberFormat="1" applyFill="1" applyBorder="1" applyAlignment="1" applyProtection="1">
      <alignment horizontal="right" indent="1"/>
      <protection hidden="1"/>
    </xf>
    <xf numFmtId="3" fontId="0" fillId="3" borderId="31" xfId="0" applyNumberFormat="1" applyFill="1" applyBorder="1" applyProtection="1">
      <protection hidden="1"/>
    </xf>
    <xf numFmtId="0" fontId="3" fillId="3" borderId="0" xfId="0" applyFont="1" applyFill="1" applyBorder="1" applyAlignment="1" applyProtection="1">
      <alignment wrapText="1"/>
      <protection hidden="1"/>
    </xf>
    <xf numFmtId="42" fontId="0" fillId="3" borderId="0" xfId="0" applyNumberFormat="1" applyFill="1" applyBorder="1" applyProtection="1">
      <protection hidden="1"/>
    </xf>
    <xf numFmtId="0" fontId="0" fillId="7" borderId="0" xfId="0" applyFill="1" applyBorder="1" applyAlignment="1" applyProtection="1">
      <alignment horizontal="right" vertical="center" indent="1"/>
      <protection hidden="1"/>
    </xf>
    <xf numFmtId="42" fontId="29" fillId="7" borderId="0" xfId="0" applyNumberFormat="1" applyFont="1" applyFill="1" applyBorder="1" applyAlignment="1" applyProtection="1">
      <alignment horizontal="right" vertical="center" indent="1"/>
      <protection hidden="1"/>
    </xf>
    <xf numFmtId="0" fontId="3" fillId="0" borderId="0" xfId="0" applyFont="1" applyProtection="1">
      <protection hidden="1"/>
    </xf>
    <xf numFmtId="3" fontId="12" fillId="3" borderId="32" xfId="0" applyNumberFormat="1" applyFont="1" applyFill="1" applyBorder="1" applyAlignment="1" applyProtection="1">
      <alignment horizontal="right" vertical="center" indent="1"/>
      <protection locked="0" hidden="1"/>
    </xf>
    <xf numFmtId="0" fontId="0" fillId="2" borderId="7" xfId="0" applyFill="1" applyBorder="1" applyAlignment="1" applyProtection="1">
      <alignment horizontal="center" wrapText="1"/>
      <protection hidden="1"/>
    </xf>
    <xf numFmtId="0" fontId="0" fillId="2" borderId="15" xfId="0" applyFill="1" applyBorder="1" applyAlignment="1" applyProtection="1">
      <alignment horizontal="center" wrapText="1"/>
      <protection hidden="1"/>
    </xf>
    <xf numFmtId="0" fontId="22" fillId="7" borderId="0" xfId="0" applyFont="1" applyFill="1" applyBorder="1" applyAlignment="1" applyProtection="1">
      <alignment horizontal="left" vertical="center" wrapText="1" indent="1"/>
      <protection hidden="1"/>
    </xf>
    <xf numFmtId="0" fontId="22" fillId="7" borderId="5" xfId="0" applyFont="1" applyFill="1" applyBorder="1" applyAlignment="1" applyProtection="1">
      <alignment horizontal="left" vertical="center" wrapText="1" indent="1"/>
      <protection hidden="1"/>
    </xf>
    <xf numFmtId="0" fontId="0" fillId="2" borderId="4" xfId="0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0" fontId="0" fillId="2" borderId="23" xfId="0" applyFill="1" applyBorder="1" applyAlignment="1" applyProtection="1">
      <alignment horizontal="center" wrapText="1"/>
      <protection hidden="1"/>
    </xf>
    <xf numFmtId="0" fontId="0" fillId="2" borderId="24" xfId="0" applyFill="1" applyBorder="1" applyAlignment="1" applyProtection="1">
      <alignment horizontal="center" wrapText="1"/>
      <protection hidden="1"/>
    </xf>
    <xf numFmtId="0" fontId="0" fillId="2" borderId="26" xfId="0" applyFill="1" applyBorder="1" applyAlignment="1" applyProtection="1">
      <alignment horizontal="center" wrapText="1"/>
      <protection hidden="1"/>
    </xf>
    <xf numFmtId="0" fontId="22" fillId="7" borderId="0" xfId="0" applyFont="1" applyFill="1" applyBorder="1" applyAlignment="1" applyProtection="1">
      <alignment horizontal="left" vertical="center" wrapText="1" indent="2"/>
      <protection hidden="1"/>
    </xf>
    <xf numFmtId="0" fontId="0" fillId="2" borderId="21" xfId="0" applyFill="1" applyBorder="1" applyAlignment="1" applyProtection="1">
      <alignment horizontal="center" wrapText="1"/>
      <protection hidden="1"/>
    </xf>
    <xf numFmtId="0" fontId="0" fillId="2" borderId="28" xfId="0" applyFill="1" applyBorder="1" applyAlignment="1" applyProtection="1">
      <alignment horizontal="center" wrapText="1"/>
      <protection hidden="1"/>
    </xf>
    <xf numFmtId="0" fontId="5" fillId="9" borderId="0" xfId="0" applyFont="1" applyFill="1" applyBorder="1" applyAlignment="1" applyProtection="1">
      <alignment horizontal="center" vertical="center" wrapText="1"/>
      <protection hidden="1"/>
    </xf>
    <xf numFmtId="0" fontId="3" fillId="9" borderId="0" xfId="0" applyFont="1" applyFill="1" applyBorder="1" applyAlignment="1" applyProtection="1">
      <alignment horizontal="center" vertical="center"/>
      <protection hidden="1"/>
    </xf>
    <xf numFmtId="0" fontId="5" fillId="7" borderId="0" xfId="0" applyFont="1" applyFill="1" applyBorder="1" applyAlignment="1" applyProtection="1">
      <alignment horizontal="right" vertical="center" wrapText="1" indent="1"/>
      <protection hidden="1"/>
    </xf>
    <xf numFmtId="0" fontId="0" fillId="7" borderId="0" xfId="0" applyFill="1" applyBorder="1" applyAlignment="1" applyProtection="1">
      <alignment horizontal="right" vertical="center" indent="1"/>
      <protection hidden="1"/>
    </xf>
    <xf numFmtId="0" fontId="9" fillId="3" borderId="25" xfId="0" applyFont="1" applyFill="1" applyBorder="1" applyAlignment="1" applyProtection="1">
      <alignment horizontal="left" vertical="center" indent="1"/>
      <protection locked="0" hidden="1"/>
    </xf>
    <xf numFmtId="0" fontId="9" fillId="3" borderId="3" xfId="0" applyFont="1" applyFill="1" applyBorder="1" applyAlignment="1" applyProtection="1">
      <alignment horizontal="left" vertical="center" indent="1"/>
      <protection locked="0" hidden="1"/>
    </xf>
    <xf numFmtId="0" fontId="9" fillId="3" borderId="33" xfId="0" applyFont="1" applyFill="1" applyBorder="1" applyAlignment="1" applyProtection="1">
      <alignment horizontal="left" vertical="center" indent="1"/>
      <protection locked="0" hidden="1"/>
    </xf>
    <xf numFmtId="0" fontId="32" fillId="3" borderId="0" xfId="0" applyFont="1" applyFill="1" applyAlignment="1" applyProtection="1">
      <alignment horizontal="right" vertical="center"/>
      <protection hidden="1"/>
    </xf>
    <xf numFmtId="0" fontId="20" fillId="0" borderId="0" xfId="0" applyFont="1" applyProtection="1">
      <protection locked="0" hidden="1"/>
    </xf>
    <xf numFmtId="0" fontId="22" fillId="7" borderId="0" xfId="0" applyFont="1" applyFill="1" applyBorder="1" applyAlignment="1" applyProtection="1">
      <alignment horizontal="center" vertical="center" wrapText="1"/>
      <protection hidden="1"/>
    </xf>
  </cellXfs>
  <cellStyles count="2">
    <cellStyle name="Čárka" xfId="1" builtinId="3"/>
    <cellStyle name="Normální" xfId="0" builtinId="0"/>
  </cellStyles>
  <dxfs count="25">
    <dxf>
      <numFmt numFmtId="0" formatCode="General"/>
      <protection locked="1" hidden="1"/>
    </dxf>
    <dxf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border outline="0">
        <bottom style="medium">
          <color theme="0" tint="-0.34998626667073579"/>
        </bottom>
      </border>
    </dxf>
    <dxf>
      <protection locked="1" hidden="1"/>
    </dxf>
    <dxf>
      <numFmt numFmtId="0" formatCode="General"/>
      <protection locked="1" hidden="1"/>
    </dxf>
    <dxf>
      <fill>
        <patternFill>
          <fgColor indexed="64"/>
          <bgColor theme="0" tint="-0.34998626667073579"/>
        </patternFill>
      </fill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</border>
      <protection locked="1" hidden="1"/>
    </dxf>
    <dxf>
      <alignment horizontal="right" textRotation="0" wrapText="0" relativeIndent="1" justifyLastLine="0" shrinkToFit="0" readingOrder="0"/>
      <protection locked="1" hidden="1"/>
    </dxf>
    <dxf>
      <fill>
        <patternFill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</border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border diagonalUp="0" diagonalDown="0">
        <left style="thick">
          <color theme="0" tint="-0.34998626667073579"/>
        </left>
        <right style="thick">
          <color theme="0" tint="-0.34998626667073579"/>
        </right>
        <top style="thick">
          <color theme="0" tint="-0.34998626667073579"/>
        </top>
        <bottom style="thick">
          <color theme="0" tint="-0.34998626667073579"/>
        </bottom>
      </border>
    </dxf>
    <dxf>
      <protection locked="1" hidden="1"/>
    </dxf>
    <dxf>
      <protection locked="1" hidden="1"/>
    </dxf>
    <dxf>
      <font>
        <i/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>
          <fgColor indexed="64"/>
          <bgColor theme="6" tint="0.79998168889431442"/>
        </patternFill>
      </fill>
      <alignment horizontal="left" vertical="bottom" textRotation="0" wrapText="0" relativeIndent="1" justifyLastLine="0" shrinkToFit="0" readingOrder="0"/>
      <border diagonalUp="0" diagonalDown="0">
        <left style="thick">
          <color theme="0" tint="-0.34998626667073579"/>
        </left>
        <right/>
        <top style="thick">
          <color theme="0"/>
        </top>
        <bottom style="thick">
          <color theme="0"/>
        </bottom>
        <vertical/>
        <horizontal style="thick">
          <color theme="0"/>
        </horizontal>
      </border>
      <protection locked="1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fgColor indexed="64"/>
          <bgColor theme="0" tint="-0.34998626667073579"/>
        </patternFill>
      </fill>
      <border diagonalUp="0" diagonalDown="0">
        <left/>
        <right style="thick">
          <color theme="0" tint="-0.34998626667073579"/>
        </right>
        <top style="thick">
          <color theme="0" tint="-0.34998626667073579"/>
        </top>
        <bottom style="thick">
          <color theme="0" tint="-0.34998626667073579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border diagonalUp="0" diagonalDown="0">
        <left/>
        <right/>
        <top style="thick">
          <color theme="0" tint="-0.34998626667073579"/>
        </top>
        <bottom style="thick">
          <color theme="0" tint="-0.34998626667073579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fill>
        <patternFill>
          <fgColor indexed="64"/>
          <bgColor theme="0" tint="-0.34998626667073579"/>
        </patternFill>
      </fill>
      <border diagonalUp="0" diagonalDown="0">
        <left/>
        <right/>
        <top style="thick">
          <color theme="0" tint="-0.34998626667073579"/>
        </top>
        <bottom style="thick">
          <color theme="0" tint="-0.34998626667073579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right" vertical="center" textRotation="0" wrapText="0" indent="3" justifyLastLine="0" shrinkToFit="0" readingOrder="0"/>
      <border diagonalUp="0" diagonalDown="0">
        <left/>
        <right/>
        <top/>
        <bottom style="thick">
          <color theme="0" tint="-0.34998626667073579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0" tint="-0.34998626667073579"/>
        <name val="Calibri"/>
        <scheme val="minor"/>
      </font>
      <fill>
        <patternFill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ck">
          <color theme="0" tint="-0.34998626667073579"/>
        </top>
        <bottom style="thick">
          <color theme="0" tint="-0.34998626667073579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ck">
          <color theme="0" tint="-0.34998626667073579"/>
        </top>
        <bottom style="thick">
          <color theme="0" tint="-0.34998626667073579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1"/>
    </dxf>
  </dxfs>
  <tableStyles count="0" defaultTableStyle="TableStyleMedium2" defaultPivotStyle="PivotStyleLight16"/>
  <colors>
    <mruColors>
      <color rgb="FFDA1A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22" fmlaLink="$O$6" fmlaRange="$N$6:$N$8" noThreeD="1" sel="1" val="0"/>
</file>

<file path=xl/ctrlProps/ctrlProp2.xml><?xml version="1.0" encoding="utf-8"?>
<formControlPr xmlns="http://schemas.microsoft.com/office/spreadsheetml/2009/9/main" objectType="Drop" dropLines="3" dropStyle="combo" dx="22" fmlaLink="$O$10" fmlaRange="$N$10:$N$12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9524</xdr:rowOff>
    </xdr:from>
    <xdr:to>
      <xdr:col>1</xdr:col>
      <xdr:colOff>1</xdr:colOff>
      <xdr:row>2</xdr:row>
      <xdr:rowOff>9525</xdr:rowOff>
    </xdr:to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" y="9524"/>
          <a:ext cx="7505700" cy="548640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/>
            <a:t>Vážený</a:t>
          </a:r>
          <a:r>
            <a:rPr lang="cs-CZ" sz="1100" b="1" baseline="0"/>
            <a:t> žadateli</a:t>
          </a:r>
          <a:r>
            <a:rPr lang="cs-CZ" sz="1100" baseline="0"/>
            <a:t>,</a:t>
          </a:r>
        </a:p>
        <a:p>
          <a:endParaRPr lang="cs-CZ" sz="1100" baseline="0"/>
        </a:p>
        <a:p>
          <a:pPr algn="l"/>
          <a:r>
            <a:rPr lang="cs-CZ" sz="1100" baseline="0"/>
            <a:t>tento nástroj slouží pro </a:t>
          </a:r>
          <a:r>
            <a:rPr lang="cs-CZ" sz="1100" b="1" baseline="0"/>
            <a:t>stanovení maximální výše podpory </a:t>
          </a:r>
          <a:r>
            <a:rPr lang="cs-CZ" sz="1100" baseline="0"/>
            <a:t>Vašeho projektu na rozvoj </a:t>
          </a:r>
          <a:r>
            <a:rPr lang="cs-CZ" sz="1100" b="0" i="1" baseline="0"/>
            <a:t>komunální FVE a </a:t>
          </a:r>
          <a:r>
            <a:rPr lang="cs-CZ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energetické infrastruktury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jako potenciálu rozvoje energetických společenství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Při vyplňování údajů prosím </a:t>
          </a:r>
          <a:r>
            <a:rPr lang="cs-CZ" sz="1100" baseline="0"/>
            <a:t>postupujte v následujícím pořadí:</a:t>
          </a:r>
        </a:p>
        <a:p>
          <a:endParaRPr lang="cs-CZ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 baseline="0"/>
            <a:t>1.  jako první vyplňte list s názvem "FVE" 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cs-CZ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tento list je povinný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cs-CZ" sz="400" b="1" baseline="0"/>
        </a:p>
        <a:p>
          <a:endParaRPr lang="cs-CZ" sz="400" b="1" baseline="0"/>
        </a:p>
        <a:p>
          <a:r>
            <a:rPr lang="cs-CZ" sz="1000" b="0" i="1" baseline="0"/>
            <a:t>údaje vyplňte pro každé předávací místo (PM). Výkony uváděné v kW jednotlivých instalací stejného typu (např. střešní) se v jednom PM (tj. řádku) sčítají. </a:t>
          </a:r>
        </a:p>
        <a:p>
          <a:endParaRPr lang="cs-CZ" sz="1100" b="1" baseline="0"/>
        </a:p>
        <a:p>
          <a:r>
            <a:rPr lang="cs-CZ" sz="1100" b="1" baseline="0"/>
            <a:t>2.  po vyplnění listu "FVE", pokračujte vyplněním listu "Bateriová úložiště" </a:t>
          </a:r>
          <a:r>
            <a:rPr lang="cs-CZ" sz="1100" b="0" baseline="0"/>
            <a:t>(</a:t>
          </a:r>
          <a:r>
            <a:rPr lang="cs-CZ" sz="1100" b="0" i="1" baseline="0"/>
            <a:t>je-li relevantní</a:t>
          </a:r>
          <a:r>
            <a:rPr lang="cs-CZ" sz="1100" b="0" baseline="0"/>
            <a:t>)</a:t>
          </a:r>
        </a:p>
        <a:p>
          <a:endParaRPr lang="cs-CZ" sz="400" b="0" baseline="0"/>
        </a:p>
        <a:p>
          <a:r>
            <a:rPr lang="cs-CZ" sz="10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vyplňte opět údaje za každé předávací místo na samostatný řádek. V prvním sloupci vyplňte číslo PM (totožné číslo PM uváděné na listu "FVE"). Do buněk v druhém sloupci uvádějte kapacity jednotlivých úložišť v kWh. V případě instalace více baterií v jednom PM se kapacity úložišť sčítají. V posledním sloupci se zobrazuje zbývající kapacita úložiště, která je způsobilá k podpoře (viz min. kapacita uložiště stanovena výzvou). Záporné číslo znamená minimální hodnotu, které se musí dosáhnout, aby byla bateriová úložiště způsobilým výdajem.</a:t>
          </a:r>
        </a:p>
        <a:p>
          <a:endParaRPr lang="cs-CZ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 po vyplnění listu "FVE" a případně až následně listu "Bateriová úložiště" pokračujte vyplněním listu "Elektrolyzéry"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cs-CZ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je-li relevantní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cs-CZ" sz="1000">
            <a:effectLst/>
          </a:endParaRPr>
        </a:p>
        <a:p>
          <a:endParaRPr lang="cs-CZ" sz="400">
            <a:effectLst/>
          </a:endParaRPr>
        </a:p>
        <a:p>
          <a:pPr eaLnBrk="1" fontAlgn="auto" latinLnBrk="0" hangingPunct="1"/>
          <a:r>
            <a:rPr lang="cs-CZ" sz="10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vyplňte opět za každé PM na samostatný řádek výrobní kapacitu elektrolyzérů. V prvním sloupci vyplňte číslo PM s souladu s listem "FVE" a "Bateriová úložiště".  V případě instalace více elektrolyzérů v jednom PM se výrobní kapacity elektrolyzérů v druhém sloupci sčítají. V posledním sloupci se zobrazuje zbývající výrobní kapacita elektrolyzéru, která je způsobilá k podpoře. Záporné číslo znamená minimální minimální hodnotu, které se musí dosáhnout, aby byl elektrolyzér způsobilým výdajem.</a:t>
          </a:r>
          <a:endParaRPr lang="cs-CZ" sz="1000" i="1">
            <a:effectLst/>
          </a:endParaRPr>
        </a:p>
        <a:p>
          <a:endParaRPr lang="cs-CZ" sz="1000">
            <a:effectLst/>
          </a:endParaRPr>
        </a:p>
        <a:p>
          <a:pPr eaLnBrk="1" fontAlgn="auto" latinLnBrk="0" hangingPunct="1"/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 přejděte na list "Souhrn"</a:t>
          </a:r>
        </a:p>
        <a:p>
          <a:pPr eaLnBrk="1" fontAlgn="auto" latinLnBrk="0" hangingPunct="1"/>
          <a:r>
            <a:rPr lang="cs-CZ" sz="4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</a:t>
          </a:r>
        </a:p>
        <a:p>
          <a:pPr eaLnBrk="1" fontAlgn="auto" latinLnBrk="0" hangingPunct="1"/>
          <a:r>
            <a:rPr lang="cs-CZ" sz="10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vyberte velikost podniku a region realizace projektu a zadejte další požadované údaje o celkových výdajích, včetně výdajů na energetický management a prvky pro řízení a optimalizaci výroby a spotřeby vyrobené energie. Pole pro vyplnění jsou v tučném rámečku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cs-CZ" sz="1000" i="1" baseline="0"/>
        </a:p>
        <a:p>
          <a:endParaRPr lang="cs-CZ" sz="1100" baseline="0"/>
        </a:p>
        <a:p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 l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ist "Souhrn"</a:t>
          </a: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pdf. formě přiložte k žádosti o dotaci</a:t>
          </a:r>
          <a:endParaRPr lang="cs-CZ" b="1">
            <a:effectLst/>
          </a:endParaRPr>
        </a:p>
        <a:p>
          <a:endParaRPr lang="cs-CZ" sz="1100" baseline="0"/>
        </a:p>
        <a:p>
          <a:endParaRPr lang="cs-CZ" sz="1100" baseline="0"/>
        </a:p>
        <a:p>
          <a:endParaRPr lang="cs-CZ" sz="1100" baseline="0"/>
        </a:p>
        <a:p>
          <a:r>
            <a:rPr lang="cs-CZ" sz="1100" b="1" i="1" baseline="0">
              <a:solidFill>
                <a:srgbClr val="FF0000"/>
              </a:solidFill>
            </a:rPr>
            <a:t>Pro stanovení správné výše podpory dbejte prosím na dodržování výše uvedeného postupu a jednotlivé kroky nepřeskakujte!</a:t>
          </a:r>
        </a:p>
        <a:p>
          <a:endParaRPr lang="cs-CZ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případě potřeby více než 50 předávacích míst nás informujte na e-mailové adrese:  oldrich.muzik@sfzp.cz </a:t>
          </a:r>
          <a:endParaRPr lang="cs-CZ" i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0</xdr:rowOff>
        </xdr:from>
        <xdr:to>
          <xdr:col>1</xdr:col>
          <xdr:colOff>1219200</xdr:colOff>
          <xdr:row>6</xdr:row>
          <xdr:rowOff>28575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</xdr:row>
          <xdr:rowOff>0</xdr:rowOff>
        </xdr:from>
        <xdr:to>
          <xdr:col>1</xdr:col>
          <xdr:colOff>1228725</xdr:colOff>
          <xdr:row>8</xdr:row>
          <xdr:rowOff>28575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ulka3" displayName="Tabulka3" ref="B2:H54" totalsRowShown="0" headerRowDxfId="24" dataDxfId="23">
  <tableColumns count="7">
    <tableColumn id="1" xr3:uid="{00000000-0010-0000-0000-000001000000}" name="PŘEDÁVACÍ MÍSTO_x000a_(číslo/znak)" dataDxfId="22"/>
    <tableColumn id="6" xr3:uid="{00000000-0010-0000-0000-000006000000}" name="," dataDxfId="21"/>
    <tableColumn id="2" xr3:uid="{00000000-0010-0000-0000-000002000000}" name="pozemní instalace FVE (kW)" dataDxfId="20"/>
    <tableColumn id="7" xr3:uid="{00000000-0010-0000-0000-000007000000}" name="-" dataDxfId="19"/>
    <tableColumn id="3" xr3:uid="{00000000-0010-0000-0000-000003000000}" name="střešní instalace FVE (kW)" dataDxfId="18"/>
    <tableColumn id="8" xr3:uid="{00000000-0010-0000-0000-000008000000}" name="." dataDxfId="17"/>
    <tableColumn id="5" xr3:uid="{00000000-0010-0000-0000-000005000000}" name="Upozornění a Informace" dataDxfId="16">
      <calculatedColumnFormula>IF(Tabulka3[[#This Row],[pozemní instalace FVE (kW)]]+Tabulka3[[#This Row],[střešní instalace FVE (kW)]]&gt;1000,"PŘEKROČEN LIMIT 1 MW VÝKONU FVE NA JEDNO PŘEDÁVACÍ MÍSTO","")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ulka32" displayName="Tabulka32" ref="B2:F53" totalsRowShown="0" headerRowDxfId="15" dataDxfId="14" tableBorderDxfId="13">
  <autoFilter ref="B2:F53" xr:uid="{00000000-0009-0000-0100-000001000000}"/>
  <tableColumns count="5">
    <tableColumn id="1" xr3:uid="{00000000-0010-0000-0100-000001000000}" name="PŘEDÁVACÍ MÍSTO_x000a_(číslo/znak)" dataDxfId="12"/>
    <tableColumn id="3" xr3:uid="{00000000-0010-0000-0100-000003000000}" name="." dataDxfId="11"/>
    <tableColumn id="4" xr3:uid="{00000000-0010-0000-0100-000004000000}" name="KAPACITA AKUMULACE_x000a_(kWh)" dataDxfId="10"/>
    <tableColumn id="5" xr3:uid="{00000000-0010-0000-0100-000005000000}" name="-" dataDxfId="9"/>
    <tableColumn id="2" xr3:uid="{00000000-0010-0000-0100-000002000000}" name="Zbývající kapacita k dispozici k podpoře (kWh)" dataDxfId="8">
      <calculatedColumnFormula>SUM(D2:D3)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ulka323" displayName="Tabulka323" ref="B2:F53" totalsRowShown="0" headerRowDxfId="7" dataDxfId="5" headerRowBorderDxfId="6">
  <autoFilter ref="B2:F53" xr:uid="{00000000-0009-0000-0100-000002000000}"/>
  <tableColumns count="5">
    <tableColumn id="1" xr3:uid="{00000000-0010-0000-0200-000001000000}" name="PŘEDÁVACÍ MÍSTO_x000a_(číslo/znak)" dataDxfId="4"/>
    <tableColumn id="5" xr3:uid="{00000000-0010-0000-0200-000005000000}" name="." dataDxfId="3"/>
    <tableColumn id="4" xr3:uid="{00000000-0010-0000-0200-000004000000}" name="HODINOVÁ VÝROBA VODÍKU (m3/hod)" dataDxfId="2"/>
    <tableColumn id="3" xr3:uid="{00000000-0010-0000-0200-000003000000}" name="-" dataDxfId="1"/>
    <tableColumn id="2" xr3:uid="{00000000-0010-0000-0200-000002000000}" name="Zbývající kapacita výroby vodíku (m3/hod) k podpoře (odhad)" dataDxfId="0">
      <calculatedColumnFormula>SUM(D2:D3)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</sheetPr>
  <dimension ref="A1:K12"/>
  <sheetViews>
    <sheetView showRowColHeaders="0" tabSelected="1" zoomScaleNormal="100" workbookViewId="0">
      <selection sqref="A1:XFD1048576"/>
    </sheetView>
  </sheetViews>
  <sheetFormatPr defaultColWidth="0" defaultRowHeight="15" zeroHeight="1" x14ac:dyDescent="0.25"/>
  <cols>
    <col min="1" max="1" width="112.28515625" style="3" customWidth="1"/>
    <col min="2" max="10" width="9.140625" style="3" hidden="1" customWidth="1"/>
    <col min="11" max="11" width="38.7109375" style="3" hidden="1" customWidth="1"/>
    <col min="12" max="16384" width="9.140625" style="3" hidden="1"/>
  </cols>
  <sheetData>
    <row r="1" spans="1:1" ht="213.75" customHeight="1" x14ac:dyDescent="0.25"/>
    <row r="2" spans="1:1" ht="245.25" customHeight="1" x14ac:dyDescent="0.25"/>
    <row r="12" spans="1:1" hidden="1" x14ac:dyDescent="0.25">
      <c r="A12" s="7"/>
    </row>
  </sheetData>
  <sheetProtection algorithmName="SHA-512" hashValue="4RaWgTCHovuOs2qaLuypEp+ppUcIzYMOJ4jHQOaSF+xeZ/Cv0r8f5yJyYRYfX4t8/GmPQeTHKbGetJ8P1lXzCg==" saltValue="oo1G2mOURjS9IfxRSDa+kw==" spinCount="100000" sheet="1" objects="1" scenarios="1"/>
  <pageMargins left="0.7" right="0.7" top="0.78740157499999996" bottom="0.78740157499999996" header="0.3" footer="0.3"/>
  <pageSetup paperSize="9" orientation="portrait" r:id="rId1"/>
  <headerFooter>
    <oddHeader>&amp;CPříloha - výpočet dotace pro komunální FVE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N58"/>
  <sheetViews>
    <sheetView showGridLines="0" showRowColHeaders="0" zoomScaleNormal="100" workbookViewId="0">
      <selection activeCell="B3" sqref="B3"/>
    </sheetView>
  </sheetViews>
  <sheetFormatPr defaultColWidth="0" defaultRowHeight="15" zeroHeight="1" x14ac:dyDescent="0.25"/>
  <cols>
    <col min="1" max="1" width="5.7109375" style="16" customWidth="1"/>
    <col min="2" max="2" width="15.7109375" style="53" customWidth="1"/>
    <col min="3" max="3" width="4.7109375" style="2" customWidth="1"/>
    <col min="4" max="4" width="16.7109375" style="15" customWidth="1"/>
    <col min="5" max="5" width="4.7109375" style="54" customWidth="1"/>
    <col min="6" max="6" width="16.7109375" style="15" customWidth="1"/>
    <col min="7" max="7" width="4.7109375" style="54" customWidth="1"/>
    <col min="8" max="8" width="56.5703125" style="15" customWidth="1"/>
    <col min="9" max="9" width="5.7109375" style="55" customWidth="1"/>
    <col min="10" max="10" width="12.85546875" style="14" hidden="1" customWidth="1"/>
    <col min="11" max="11" width="15.7109375" style="14" hidden="1" customWidth="1"/>
    <col min="12" max="12" width="14.85546875" style="14" hidden="1" customWidth="1"/>
    <col min="13" max="13" width="15.7109375" style="14" hidden="1" customWidth="1"/>
    <col min="14" max="14" width="15.7109375" style="15" hidden="1" customWidth="1"/>
    <col min="15" max="16384" width="9.140625" style="15" hidden="1"/>
  </cols>
  <sheetData>
    <row r="1" spans="1:13" ht="21" customHeight="1" x14ac:dyDescent="0.25">
      <c r="A1" s="156" t="s">
        <v>44</v>
      </c>
      <c r="B1" s="156"/>
      <c r="C1" s="156"/>
      <c r="D1" s="156"/>
      <c r="E1" s="156"/>
      <c r="F1" s="156"/>
      <c r="G1" s="156"/>
      <c r="H1" s="156"/>
      <c r="I1" s="157"/>
    </row>
    <row r="2" spans="1:13" s="20" customFormat="1" ht="38.25" customHeight="1" x14ac:dyDescent="0.25">
      <c r="A2" s="16"/>
      <c r="B2" s="17" t="s">
        <v>42</v>
      </c>
      <c r="C2" s="10" t="s">
        <v>38</v>
      </c>
      <c r="D2" s="17" t="s">
        <v>39</v>
      </c>
      <c r="E2" s="10" t="s">
        <v>41</v>
      </c>
      <c r="F2" s="17" t="s">
        <v>43</v>
      </c>
      <c r="G2" s="10" t="s">
        <v>37</v>
      </c>
      <c r="H2" s="18" t="s">
        <v>40</v>
      </c>
      <c r="I2" s="154"/>
      <c r="J2" s="19" t="s">
        <v>20</v>
      </c>
      <c r="K2" s="19" t="s">
        <v>21</v>
      </c>
      <c r="L2" s="19" t="s">
        <v>26</v>
      </c>
      <c r="M2" s="19" t="s">
        <v>23</v>
      </c>
    </row>
    <row r="3" spans="1:13" ht="15.75" thickBot="1" x14ac:dyDescent="0.3">
      <c r="B3" s="62"/>
      <c r="C3" s="4"/>
      <c r="D3" s="65"/>
      <c r="E3" s="21"/>
      <c r="F3" s="65"/>
      <c r="G3" s="22"/>
      <c r="H3" s="23" t="str">
        <f>IF(Tabulka3[[#This Row],[pozemní instalace FVE (kW)]]+Tabulka3[[#This Row],[střešní instalace FVE (kW)]]&gt;1000,"PŘEKROČEN LIMIT 1 MW VÝKONU FVE NA JEDNO PŘEDÁVACÍ MÍSTO","")</f>
        <v/>
      </c>
      <c r="I3" s="154"/>
      <c r="J3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3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3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3" s="25">
        <f t="shared" ref="M3:M34" si="0">L3-K3-J3</f>
        <v>0</v>
      </c>
    </row>
    <row r="4" spans="1:13" ht="16.5" thickTop="1" thickBot="1" x14ac:dyDescent="0.3">
      <c r="B4" s="63"/>
      <c r="C4" s="5"/>
      <c r="D4" s="65"/>
      <c r="E4" s="26"/>
      <c r="F4" s="65"/>
      <c r="G4" s="27"/>
      <c r="H4" s="28" t="str">
        <f>IF(Tabulka3[[#This Row],[pozemní instalace FVE (kW)]]+Tabulka3[[#This Row],[střešní instalace FVE (kW)]]&gt;1000,"PŘEKROČEN LIMIT 1 MW VÝKONU FVE NA JEDNO PŘEDÁVACÍ MÍSTO","")</f>
        <v/>
      </c>
      <c r="I4" s="154"/>
      <c r="J4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4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4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4" s="25">
        <f t="shared" si="0"/>
        <v>0</v>
      </c>
    </row>
    <row r="5" spans="1:13" ht="16.5" thickTop="1" thickBot="1" x14ac:dyDescent="0.3">
      <c r="B5" s="63"/>
      <c r="C5" s="5"/>
      <c r="D5" s="65"/>
      <c r="E5" s="26"/>
      <c r="F5" s="65"/>
      <c r="G5" s="27"/>
      <c r="H5" s="28" t="str">
        <f>IF(Tabulka3[[#This Row],[pozemní instalace FVE (kW)]]+Tabulka3[[#This Row],[střešní instalace FVE (kW)]]&gt;1000,"PŘEKROČEN LIMIT 1 MW VÝKONU FVE NA JEDNO PŘEDÁVACÍ MÍSTO","")</f>
        <v/>
      </c>
      <c r="I5" s="154"/>
      <c r="J5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5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5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5" s="25">
        <f t="shared" si="0"/>
        <v>0</v>
      </c>
    </row>
    <row r="6" spans="1:13" ht="16.5" thickTop="1" thickBot="1" x14ac:dyDescent="0.3">
      <c r="B6" s="63"/>
      <c r="C6" s="5"/>
      <c r="D6" s="65"/>
      <c r="E6" s="26"/>
      <c r="F6" s="65"/>
      <c r="G6" s="27"/>
      <c r="H6" s="28" t="str">
        <f>IF(Tabulka3[[#This Row],[pozemní instalace FVE (kW)]]+Tabulka3[[#This Row],[střešní instalace FVE (kW)]]&gt;1000,"PŘEKROČEN LIMIT 1 MW VÝKONU FVE NA JEDNO PŘEDÁVACÍ MÍSTO","")</f>
        <v/>
      </c>
      <c r="I6" s="154"/>
      <c r="J6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6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6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6" s="25">
        <f t="shared" si="0"/>
        <v>0</v>
      </c>
    </row>
    <row r="7" spans="1:13" ht="16.5" thickTop="1" thickBot="1" x14ac:dyDescent="0.3">
      <c r="B7" s="63"/>
      <c r="C7" s="5"/>
      <c r="D7" s="65"/>
      <c r="E7" s="26"/>
      <c r="F7" s="65"/>
      <c r="G7" s="27"/>
      <c r="H7" s="28" t="str">
        <f>IF(Tabulka3[[#This Row],[pozemní instalace FVE (kW)]]+Tabulka3[[#This Row],[střešní instalace FVE (kW)]]&gt;1000,"PŘEKROČEN LIMIT 1 MW VÝKONU FVE NA JEDNO PŘEDÁVACÍ MÍSTO","")</f>
        <v/>
      </c>
      <c r="I7" s="154"/>
      <c r="J7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7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7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7" s="25">
        <f t="shared" si="0"/>
        <v>0</v>
      </c>
    </row>
    <row r="8" spans="1:13" ht="16.5" thickTop="1" thickBot="1" x14ac:dyDescent="0.3">
      <c r="B8" s="63"/>
      <c r="C8" s="5"/>
      <c r="D8" s="65"/>
      <c r="E8" s="26"/>
      <c r="F8" s="65"/>
      <c r="G8" s="27"/>
      <c r="H8" s="28" t="str">
        <f>IF(Tabulka3[[#This Row],[pozemní instalace FVE (kW)]]+Tabulka3[[#This Row],[střešní instalace FVE (kW)]]&gt;1000,"PŘEKROČEN LIMIT 1 MW VÝKONU FVE NA JEDNO PŘEDÁVACÍ MÍSTO","")</f>
        <v/>
      </c>
      <c r="I8" s="154"/>
      <c r="J8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8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8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8" s="25">
        <f t="shared" si="0"/>
        <v>0</v>
      </c>
    </row>
    <row r="9" spans="1:13" ht="16.5" thickTop="1" thickBot="1" x14ac:dyDescent="0.3">
      <c r="B9" s="63"/>
      <c r="C9" s="5"/>
      <c r="D9" s="65"/>
      <c r="E9" s="26"/>
      <c r="F9" s="65"/>
      <c r="G9" s="27"/>
      <c r="H9" s="28" t="str">
        <f>IF(Tabulka3[[#This Row],[pozemní instalace FVE (kW)]]+Tabulka3[[#This Row],[střešní instalace FVE (kW)]]&gt;1000,"PŘEKROČEN LIMIT 1 MW VÝKONU FVE NA JEDNO PŘEDÁVACÍ MÍSTO","")</f>
        <v/>
      </c>
      <c r="I9" s="154"/>
      <c r="J9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9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9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9" s="25">
        <f t="shared" si="0"/>
        <v>0</v>
      </c>
    </row>
    <row r="10" spans="1:13" ht="16.5" thickTop="1" thickBot="1" x14ac:dyDescent="0.3">
      <c r="B10" s="63"/>
      <c r="C10" s="5"/>
      <c r="D10" s="65"/>
      <c r="E10" s="26"/>
      <c r="F10" s="65"/>
      <c r="G10" s="27"/>
      <c r="H10" s="28" t="str">
        <f>IF(Tabulka3[[#This Row],[pozemní instalace FVE (kW)]]+Tabulka3[[#This Row],[střešní instalace FVE (kW)]]&gt;1000,"PŘEKROČEN LIMIT 1 MW VÝKONU FVE NA JEDNO PŘEDÁVACÍ MÍSTO","")</f>
        <v/>
      </c>
      <c r="I10" s="154"/>
      <c r="J10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10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10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10" s="25">
        <f t="shared" si="0"/>
        <v>0</v>
      </c>
    </row>
    <row r="11" spans="1:13" ht="16.5" thickTop="1" thickBot="1" x14ac:dyDescent="0.3">
      <c r="B11" s="63"/>
      <c r="C11" s="5"/>
      <c r="D11" s="65"/>
      <c r="E11" s="26"/>
      <c r="F11" s="65"/>
      <c r="G11" s="27"/>
      <c r="H11" s="28" t="str">
        <f>IF(Tabulka3[[#This Row],[pozemní instalace FVE (kW)]]+Tabulka3[[#This Row],[střešní instalace FVE (kW)]]&gt;1000,"PŘEKROČEN LIMIT 1 MW VÝKONU FVE NA JEDNO PŘEDÁVACÍ MÍSTO","")</f>
        <v/>
      </c>
      <c r="I11" s="154"/>
      <c r="J11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11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11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11" s="25">
        <f t="shared" si="0"/>
        <v>0</v>
      </c>
    </row>
    <row r="12" spans="1:13" ht="16.5" thickTop="1" thickBot="1" x14ac:dyDescent="0.3">
      <c r="B12" s="63"/>
      <c r="C12" s="5"/>
      <c r="D12" s="65"/>
      <c r="E12" s="26"/>
      <c r="F12" s="65"/>
      <c r="G12" s="27"/>
      <c r="H12" s="28" t="str">
        <f>IF(Tabulka3[[#This Row],[pozemní instalace FVE (kW)]]+Tabulka3[[#This Row],[střešní instalace FVE (kW)]]&gt;1000,"PŘEKROČEN LIMIT 1 MW VÝKONU FVE NA JEDNO PŘEDÁVACÍ MÍSTO","")</f>
        <v/>
      </c>
      <c r="I12" s="154"/>
      <c r="J12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12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12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12" s="25">
        <f t="shared" si="0"/>
        <v>0</v>
      </c>
    </row>
    <row r="13" spans="1:13" ht="16.5" thickTop="1" thickBot="1" x14ac:dyDescent="0.3">
      <c r="B13" s="63"/>
      <c r="C13" s="5"/>
      <c r="D13" s="65"/>
      <c r="E13" s="26"/>
      <c r="F13" s="65"/>
      <c r="G13" s="27"/>
      <c r="H13" s="28" t="str">
        <f>IF(Tabulka3[[#This Row],[pozemní instalace FVE (kW)]]+Tabulka3[[#This Row],[střešní instalace FVE (kW)]]&gt;1000,"PŘEKROČEN LIMIT 1 MW VÝKONU FVE NA JEDNO PŘEDÁVACÍ MÍSTO","")</f>
        <v/>
      </c>
      <c r="I13" s="154"/>
      <c r="J13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13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13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13" s="25">
        <f t="shared" si="0"/>
        <v>0</v>
      </c>
    </row>
    <row r="14" spans="1:13" ht="16.5" thickTop="1" thickBot="1" x14ac:dyDescent="0.3">
      <c r="B14" s="63"/>
      <c r="C14" s="5"/>
      <c r="D14" s="65"/>
      <c r="E14" s="26"/>
      <c r="F14" s="65"/>
      <c r="G14" s="27"/>
      <c r="H14" s="28" t="str">
        <f>IF(Tabulka3[[#This Row],[pozemní instalace FVE (kW)]]+Tabulka3[[#This Row],[střešní instalace FVE (kW)]]&gt;1000,"PŘEKROČEN LIMIT 1 MW VÝKONU FVE NA JEDNO PŘEDÁVACÍ MÍSTO","")</f>
        <v/>
      </c>
      <c r="I14" s="154"/>
      <c r="J14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14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14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14" s="25">
        <f t="shared" si="0"/>
        <v>0</v>
      </c>
    </row>
    <row r="15" spans="1:13" ht="16.5" thickTop="1" thickBot="1" x14ac:dyDescent="0.3">
      <c r="B15" s="63"/>
      <c r="C15" s="5"/>
      <c r="D15" s="65"/>
      <c r="E15" s="26"/>
      <c r="F15" s="65"/>
      <c r="G15" s="27"/>
      <c r="H15" s="28" t="str">
        <f>IF(Tabulka3[[#This Row],[pozemní instalace FVE (kW)]]+Tabulka3[[#This Row],[střešní instalace FVE (kW)]]&gt;1000,"PŘEKROČEN LIMIT 1 MW VÝKONU FVE NA JEDNO PŘEDÁVACÍ MÍSTO","")</f>
        <v/>
      </c>
      <c r="I15" s="154"/>
      <c r="J15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15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15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15" s="25">
        <f t="shared" si="0"/>
        <v>0</v>
      </c>
    </row>
    <row r="16" spans="1:13" ht="16.5" thickTop="1" thickBot="1" x14ac:dyDescent="0.3">
      <c r="B16" s="63"/>
      <c r="C16" s="5"/>
      <c r="D16" s="65"/>
      <c r="E16" s="26"/>
      <c r="F16" s="65"/>
      <c r="G16" s="27"/>
      <c r="H16" s="28" t="str">
        <f>IF(Tabulka3[[#This Row],[pozemní instalace FVE (kW)]]+Tabulka3[[#This Row],[střešní instalace FVE (kW)]]&gt;1000,"PŘEKROČEN LIMIT 1 MW VÝKONU FVE NA JEDNO PŘEDÁVACÍ MÍSTO","")</f>
        <v/>
      </c>
      <c r="I16" s="154"/>
      <c r="J16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16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16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16" s="25">
        <f t="shared" si="0"/>
        <v>0</v>
      </c>
    </row>
    <row r="17" spans="2:13" ht="16.5" thickTop="1" thickBot="1" x14ac:dyDescent="0.3">
      <c r="B17" s="63"/>
      <c r="C17" s="5"/>
      <c r="D17" s="65"/>
      <c r="E17" s="26"/>
      <c r="F17" s="65"/>
      <c r="G17" s="27"/>
      <c r="H17" s="28" t="str">
        <f>IF(Tabulka3[[#This Row],[pozemní instalace FVE (kW)]]+Tabulka3[[#This Row],[střešní instalace FVE (kW)]]&gt;1000,"PŘEKROČEN LIMIT 1 MW VÝKONU FVE NA JEDNO PŘEDÁVACÍ MÍSTO","")</f>
        <v/>
      </c>
      <c r="I17" s="154"/>
      <c r="J17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17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17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17" s="25">
        <f t="shared" si="0"/>
        <v>0</v>
      </c>
    </row>
    <row r="18" spans="2:13" ht="16.5" thickTop="1" thickBot="1" x14ac:dyDescent="0.3">
      <c r="B18" s="63"/>
      <c r="C18" s="5"/>
      <c r="D18" s="65"/>
      <c r="E18" s="26"/>
      <c r="F18" s="65"/>
      <c r="G18" s="27"/>
      <c r="H18" s="28" t="str">
        <f>IF(Tabulka3[[#This Row],[pozemní instalace FVE (kW)]]+Tabulka3[[#This Row],[střešní instalace FVE (kW)]]&gt;1000,"PŘEKROČEN LIMIT 1 MW VÝKONU FVE NA JEDNO PŘEDÁVACÍ MÍSTO","")</f>
        <v/>
      </c>
      <c r="I18" s="154"/>
      <c r="J18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18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18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18" s="25">
        <f t="shared" si="0"/>
        <v>0</v>
      </c>
    </row>
    <row r="19" spans="2:13" ht="16.5" thickTop="1" thickBot="1" x14ac:dyDescent="0.3">
      <c r="B19" s="63"/>
      <c r="C19" s="5"/>
      <c r="D19" s="65"/>
      <c r="E19" s="26"/>
      <c r="F19" s="65"/>
      <c r="G19" s="27"/>
      <c r="H19" s="28" t="str">
        <f>IF(Tabulka3[[#This Row],[pozemní instalace FVE (kW)]]+Tabulka3[[#This Row],[střešní instalace FVE (kW)]]&gt;1000,"PŘEKROČEN LIMIT 1 MW VÝKONU FVE NA JEDNO PŘEDÁVACÍ MÍSTO","")</f>
        <v/>
      </c>
      <c r="I19" s="154"/>
      <c r="J19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19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19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19" s="25">
        <f t="shared" si="0"/>
        <v>0</v>
      </c>
    </row>
    <row r="20" spans="2:13" ht="16.5" thickTop="1" thickBot="1" x14ac:dyDescent="0.3">
      <c r="B20" s="63"/>
      <c r="C20" s="5"/>
      <c r="D20" s="65"/>
      <c r="E20" s="26"/>
      <c r="F20" s="65"/>
      <c r="G20" s="27"/>
      <c r="H20" s="28" t="str">
        <f>IF(Tabulka3[[#This Row],[pozemní instalace FVE (kW)]]+Tabulka3[[#This Row],[střešní instalace FVE (kW)]]&gt;1000,"PŘEKROČEN LIMIT 1 MW VÝKONU FVE NA JEDNO PŘEDÁVACÍ MÍSTO","")</f>
        <v/>
      </c>
      <c r="I20" s="154"/>
      <c r="J20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20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20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20" s="25">
        <f t="shared" si="0"/>
        <v>0</v>
      </c>
    </row>
    <row r="21" spans="2:13" ht="16.5" thickTop="1" thickBot="1" x14ac:dyDescent="0.3">
      <c r="B21" s="63"/>
      <c r="C21" s="5"/>
      <c r="D21" s="65"/>
      <c r="E21" s="26"/>
      <c r="F21" s="65"/>
      <c r="G21" s="27"/>
      <c r="H21" s="28" t="str">
        <f>IF(Tabulka3[[#This Row],[pozemní instalace FVE (kW)]]+Tabulka3[[#This Row],[střešní instalace FVE (kW)]]&gt;1000,"PŘEKROČEN LIMIT 1 MW VÝKONU FVE NA JEDNO PŘEDÁVACÍ MÍSTO","")</f>
        <v/>
      </c>
      <c r="I21" s="154"/>
      <c r="J21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21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21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21" s="25">
        <f t="shared" si="0"/>
        <v>0</v>
      </c>
    </row>
    <row r="22" spans="2:13" ht="16.5" thickTop="1" thickBot="1" x14ac:dyDescent="0.3">
      <c r="B22" s="63"/>
      <c r="C22" s="5"/>
      <c r="D22" s="65"/>
      <c r="E22" s="26"/>
      <c r="F22" s="65"/>
      <c r="G22" s="27"/>
      <c r="H22" s="28" t="str">
        <f>IF(Tabulka3[[#This Row],[pozemní instalace FVE (kW)]]+Tabulka3[[#This Row],[střešní instalace FVE (kW)]]&gt;1000,"PŘEKROČEN LIMIT 1 MW VÝKONU FVE NA JEDNO PŘEDÁVACÍ MÍSTO","")</f>
        <v/>
      </c>
      <c r="I22" s="154"/>
      <c r="J22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22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22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22" s="25">
        <f t="shared" si="0"/>
        <v>0</v>
      </c>
    </row>
    <row r="23" spans="2:13" ht="16.5" thickTop="1" thickBot="1" x14ac:dyDescent="0.3">
      <c r="B23" s="63"/>
      <c r="C23" s="5"/>
      <c r="D23" s="65"/>
      <c r="E23" s="26"/>
      <c r="F23" s="65"/>
      <c r="G23" s="27"/>
      <c r="H23" s="28" t="str">
        <f>IF(Tabulka3[[#This Row],[pozemní instalace FVE (kW)]]+Tabulka3[[#This Row],[střešní instalace FVE (kW)]]&gt;1000,"PŘEKROČEN LIMIT 1 MW VÝKONU FVE NA JEDNO PŘEDÁVACÍ MÍSTO","")</f>
        <v/>
      </c>
      <c r="I23" s="154"/>
      <c r="J23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23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23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23" s="25">
        <f t="shared" si="0"/>
        <v>0</v>
      </c>
    </row>
    <row r="24" spans="2:13" ht="16.5" thickTop="1" thickBot="1" x14ac:dyDescent="0.3">
      <c r="B24" s="63"/>
      <c r="C24" s="5"/>
      <c r="D24" s="65"/>
      <c r="E24" s="26"/>
      <c r="F24" s="65"/>
      <c r="G24" s="27"/>
      <c r="H24" s="28" t="str">
        <f>IF(Tabulka3[[#This Row],[pozemní instalace FVE (kW)]]+Tabulka3[[#This Row],[střešní instalace FVE (kW)]]&gt;1000,"PŘEKROČEN LIMIT 1 MW VÝKONU FVE NA JEDNO PŘEDÁVACÍ MÍSTO","")</f>
        <v/>
      </c>
      <c r="I24" s="154"/>
      <c r="J24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24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24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24" s="25">
        <f t="shared" si="0"/>
        <v>0</v>
      </c>
    </row>
    <row r="25" spans="2:13" ht="16.5" thickTop="1" thickBot="1" x14ac:dyDescent="0.3">
      <c r="B25" s="63"/>
      <c r="C25" s="5"/>
      <c r="D25" s="65"/>
      <c r="E25" s="26"/>
      <c r="F25" s="65"/>
      <c r="G25" s="27"/>
      <c r="H25" s="28" t="str">
        <f>IF(Tabulka3[[#This Row],[pozemní instalace FVE (kW)]]+Tabulka3[[#This Row],[střešní instalace FVE (kW)]]&gt;1000,"PŘEKROČEN LIMIT 1 MW VÝKONU FVE NA JEDNO PŘEDÁVACÍ MÍSTO","")</f>
        <v/>
      </c>
      <c r="I25" s="154"/>
      <c r="J25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25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25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25" s="25">
        <f t="shared" si="0"/>
        <v>0</v>
      </c>
    </row>
    <row r="26" spans="2:13" ht="16.5" thickTop="1" thickBot="1" x14ac:dyDescent="0.3">
      <c r="B26" s="63"/>
      <c r="C26" s="5"/>
      <c r="D26" s="65"/>
      <c r="E26" s="26"/>
      <c r="F26" s="65"/>
      <c r="G26" s="27"/>
      <c r="H26" s="28" t="str">
        <f>IF(Tabulka3[[#This Row],[pozemní instalace FVE (kW)]]+Tabulka3[[#This Row],[střešní instalace FVE (kW)]]&gt;1000,"PŘEKROČEN LIMIT 1 MW VÝKONU FVE NA JEDNO PŘEDÁVACÍ MÍSTO","")</f>
        <v/>
      </c>
      <c r="I26" s="154"/>
      <c r="J26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26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26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26" s="25">
        <f t="shared" si="0"/>
        <v>0</v>
      </c>
    </row>
    <row r="27" spans="2:13" ht="16.5" thickTop="1" thickBot="1" x14ac:dyDescent="0.3">
      <c r="B27" s="63"/>
      <c r="C27" s="5"/>
      <c r="D27" s="65"/>
      <c r="E27" s="26"/>
      <c r="F27" s="65"/>
      <c r="G27" s="27"/>
      <c r="H27" s="28" t="str">
        <f>IF(Tabulka3[[#This Row],[pozemní instalace FVE (kW)]]+Tabulka3[[#This Row],[střešní instalace FVE (kW)]]&gt;1000,"PŘEKROČEN LIMIT 1 MW VÝKONU FVE NA JEDNO PŘEDÁVACÍ MÍSTO","")</f>
        <v/>
      </c>
      <c r="I27" s="154"/>
      <c r="J27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27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27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27" s="25">
        <f t="shared" si="0"/>
        <v>0</v>
      </c>
    </row>
    <row r="28" spans="2:13" ht="16.5" thickTop="1" thickBot="1" x14ac:dyDescent="0.3">
      <c r="B28" s="63"/>
      <c r="C28" s="5"/>
      <c r="D28" s="65"/>
      <c r="E28" s="26"/>
      <c r="F28" s="65"/>
      <c r="G28" s="27"/>
      <c r="H28" s="28" t="str">
        <f>IF(Tabulka3[[#This Row],[pozemní instalace FVE (kW)]]+Tabulka3[[#This Row],[střešní instalace FVE (kW)]]&gt;1000,"PŘEKROČEN LIMIT 1 MW VÝKONU FVE NA JEDNO PŘEDÁVACÍ MÍSTO","")</f>
        <v/>
      </c>
      <c r="I28" s="154"/>
      <c r="J28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28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28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28" s="25">
        <f t="shared" si="0"/>
        <v>0</v>
      </c>
    </row>
    <row r="29" spans="2:13" ht="16.5" thickTop="1" thickBot="1" x14ac:dyDescent="0.3">
      <c r="B29" s="63"/>
      <c r="C29" s="5"/>
      <c r="D29" s="65"/>
      <c r="E29" s="26"/>
      <c r="F29" s="65"/>
      <c r="G29" s="27"/>
      <c r="H29" s="28" t="str">
        <f>IF(Tabulka3[[#This Row],[pozemní instalace FVE (kW)]]+Tabulka3[[#This Row],[střešní instalace FVE (kW)]]&gt;1000,"PŘEKROČEN LIMIT 1 MW VÝKONU FVE NA JEDNO PŘEDÁVACÍ MÍSTO","")</f>
        <v/>
      </c>
      <c r="I29" s="154"/>
      <c r="J29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29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29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29" s="25">
        <f t="shared" si="0"/>
        <v>0</v>
      </c>
    </row>
    <row r="30" spans="2:13" ht="16.5" thickTop="1" thickBot="1" x14ac:dyDescent="0.3">
      <c r="B30" s="63"/>
      <c r="C30" s="5"/>
      <c r="D30" s="65"/>
      <c r="E30" s="26"/>
      <c r="F30" s="65"/>
      <c r="G30" s="27"/>
      <c r="H30" s="28" t="str">
        <f>IF(Tabulka3[[#This Row],[pozemní instalace FVE (kW)]]+Tabulka3[[#This Row],[střešní instalace FVE (kW)]]&gt;1000,"PŘEKROČEN LIMIT 1 MW VÝKONU FVE NA JEDNO PŘEDÁVACÍ MÍSTO","")</f>
        <v/>
      </c>
      <c r="I30" s="154"/>
      <c r="J30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30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30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30" s="25">
        <f t="shared" si="0"/>
        <v>0</v>
      </c>
    </row>
    <row r="31" spans="2:13" ht="16.5" thickTop="1" thickBot="1" x14ac:dyDescent="0.3">
      <c r="B31" s="63"/>
      <c r="C31" s="5"/>
      <c r="D31" s="65"/>
      <c r="E31" s="26"/>
      <c r="F31" s="65"/>
      <c r="G31" s="27"/>
      <c r="H31" s="28" t="str">
        <f>IF(Tabulka3[[#This Row],[pozemní instalace FVE (kW)]]+Tabulka3[[#This Row],[střešní instalace FVE (kW)]]&gt;1000,"PŘEKROČEN LIMIT 1 MW VÝKONU FVE NA JEDNO PŘEDÁVACÍ MÍSTO","")</f>
        <v/>
      </c>
      <c r="I31" s="154"/>
      <c r="J31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31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31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31" s="25">
        <f t="shared" si="0"/>
        <v>0</v>
      </c>
    </row>
    <row r="32" spans="2:13" ht="16.5" thickTop="1" thickBot="1" x14ac:dyDescent="0.3">
      <c r="B32" s="63"/>
      <c r="C32" s="5"/>
      <c r="D32" s="65"/>
      <c r="E32" s="26"/>
      <c r="F32" s="65"/>
      <c r="G32" s="27"/>
      <c r="H32" s="28" t="str">
        <f>IF(Tabulka3[[#This Row],[pozemní instalace FVE (kW)]]+Tabulka3[[#This Row],[střešní instalace FVE (kW)]]&gt;1000,"PŘEKROČEN LIMIT 1 MW VÝKONU FVE NA JEDNO PŘEDÁVACÍ MÍSTO","")</f>
        <v/>
      </c>
      <c r="I32" s="154"/>
      <c r="J32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32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32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32" s="25">
        <f t="shared" si="0"/>
        <v>0</v>
      </c>
    </row>
    <row r="33" spans="2:13" ht="16.5" thickTop="1" thickBot="1" x14ac:dyDescent="0.3">
      <c r="B33" s="63"/>
      <c r="C33" s="5"/>
      <c r="D33" s="65"/>
      <c r="E33" s="26"/>
      <c r="F33" s="65"/>
      <c r="G33" s="27"/>
      <c r="H33" s="28" t="str">
        <f>IF(Tabulka3[[#This Row],[pozemní instalace FVE (kW)]]+Tabulka3[[#This Row],[střešní instalace FVE (kW)]]&gt;1000,"PŘEKROČEN LIMIT 1 MW VÝKONU FVE NA JEDNO PŘEDÁVACÍ MÍSTO","")</f>
        <v/>
      </c>
      <c r="I33" s="154"/>
      <c r="J33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33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33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33" s="25">
        <f t="shared" si="0"/>
        <v>0</v>
      </c>
    </row>
    <row r="34" spans="2:13" ht="16.5" thickTop="1" thickBot="1" x14ac:dyDescent="0.3">
      <c r="B34" s="63"/>
      <c r="C34" s="5"/>
      <c r="D34" s="65"/>
      <c r="E34" s="26"/>
      <c r="F34" s="65"/>
      <c r="G34" s="27"/>
      <c r="H34" s="28" t="str">
        <f>IF(Tabulka3[[#This Row],[pozemní instalace FVE (kW)]]+Tabulka3[[#This Row],[střešní instalace FVE (kW)]]&gt;1000,"PŘEKROČEN LIMIT 1 MW VÝKONU FVE NA JEDNO PŘEDÁVACÍ MÍSTO","")</f>
        <v/>
      </c>
      <c r="I34" s="154"/>
      <c r="J34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34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34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34" s="25">
        <f t="shared" si="0"/>
        <v>0</v>
      </c>
    </row>
    <row r="35" spans="2:13" ht="16.5" hidden="1" thickTop="1" thickBot="1" x14ac:dyDescent="0.3">
      <c r="B35" s="63"/>
      <c r="C35" s="5"/>
      <c r="D35" s="65"/>
      <c r="E35" s="26"/>
      <c r="F35" s="65"/>
      <c r="G35" s="27"/>
      <c r="H35" s="28" t="str">
        <f>IF(Tabulka3[[#This Row],[pozemní instalace FVE (kW)]]+Tabulka3[[#This Row],[střešní instalace FVE (kW)]]&gt;1000,"PŘEKROČEN LIMIT 1 MW VÝKONU FVE NA JEDNO PŘEDÁVACÍ MÍSTO","")</f>
        <v/>
      </c>
      <c r="I35" s="154"/>
      <c r="J35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35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35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35" s="25">
        <f t="shared" ref="M35:M54" si="1">L35-K35-J35</f>
        <v>0</v>
      </c>
    </row>
    <row r="36" spans="2:13" ht="16.5" thickTop="1" thickBot="1" x14ac:dyDescent="0.3">
      <c r="B36" s="63"/>
      <c r="C36" s="5"/>
      <c r="D36" s="65"/>
      <c r="E36" s="26"/>
      <c r="F36" s="65"/>
      <c r="G36" s="27"/>
      <c r="H36" s="28" t="str">
        <f>IF(Tabulka3[[#This Row],[pozemní instalace FVE (kW)]]+Tabulka3[[#This Row],[střešní instalace FVE (kW)]]&gt;1000,"PŘEKROČEN LIMIT 1 MW VÝKONU FVE NA JEDNO PŘEDÁVACÍ MÍSTO","")</f>
        <v/>
      </c>
      <c r="I36" s="154"/>
      <c r="J36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36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36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36" s="25">
        <f t="shared" si="1"/>
        <v>0</v>
      </c>
    </row>
    <row r="37" spans="2:13" ht="16.5" thickTop="1" thickBot="1" x14ac:dyDescent="0.3">
      <c r="B37" s="63"/>
      <c r="C37" s="5"/>
      <c r="D37" s="65"/>
      <c r="E37" s="26"/>
      <c r="F37" s="65"/>
      <c r="G37" s="27"/>
      <c r="H37" s="28" t="str">
        <f>IF(Tabulka3[[#This Row],[pozemní instalace FVE (kW)]]+Tabulka3[[#This Row],[střešní instalace FVE (kW)]]&gt;1000,"PŘEKROČEN LIMIT 1 MW VÝKONU FVE NA JEDNO PŘEDÁVACÍ MÍSTO","")</f>
        <v/>
      </c>
      <c r="I37" s="154"/>
      <c r="J37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37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37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37" s="25">
        <f t="shared" si="1"/>
        <v>0</v>
      </c>
    </row>
    <row r="38" spans="2:13" ht="16.5" thickTop="1" thickBot="1" x14ac:dyDescent="0.3">
      <c r="B38" s="63"/>
      <c r="C38" s="5"/>
      <c r="D38" s="65"/>
      <c r="E38" s="26"/>
      <c r="F38" s="65"/>
      <c r="G38" s="27"/>
      <c r="H38" s="28" t="str">
        <f>IF(Tabulka3[[#This Row],[pozemní instalace FVE (kW)]]+Tabulka3[[#This Row],[střešní instalace FVE (kW)]]&gt;1000,"PŘEKROČEN LIMIT 1 MW VÝKONU FVE NA JEDNO PŘEDÁVACÍ MÍSTO","")</f>
        <v/>
      </c>
      <c r="I38" s="154"/>
      <c r="J38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38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38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38" s="25">
        <f t="shared" si="1"/>
        <v>0</v>
      </c>
    </row>
    <row r="39" spans="2:13" ht="16.5" thickTop="1" thickBot="1" x14ac:dyDescent="0.3">
      <c r="B39" s="63"/>
      <c r="C39" s="5"/>
      <c r="D39" s="65"/>
      <c r="E39" s="26"/>
      <c r="F39" s="65"/>
      <c r="G39" s="27"/>
      <c r="H39" s="28" t="str">
        <f>IF(Tabulka3[[#This Row],[pozemní instalace FVE (kW)]]+Tabulka3[[#This Row],[střešní instalace FVE (kW)]]&gt;1000,"PŘEKROČEN LIMIT 1 MW VÝKONU FVE NA JEDNO PŘEDÁVACÍ MÍSTO","")</f>
        <v/>
      </c>
      <c r="I39" s="154"/>
      <c r="J39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39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39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39" s="25">
        <f t="shared" si="1"/>
        <v>0</v>
      </c>
    </row>
    <row r="40" spans="2:13" ht="16.5" thickTop="1" thickBot="1" x14ac:dyDescent="0.3">
      <c r="B40" s="63"/>
      <c r="C40" s="5"/>
      <c r="D40" s="65"/>
      <c r="E40" s="26"/>
      <c r="F40" s="65"/>
      <c r="G40" s="27"/>
      <c r="H40" s="28" t="str">
        <f>IF(Tabulka3[[#This Row],[pozemní instalace FVE (kW)]]+Tabulka3[[#This Row],[střešní instalace FVE (kW)]]&gt;1000,"PŘEKROČEN LIMIT 1 MW VÝKONU FVE NA JEDNO PŘEDÁVACÍ MÍSTO","")</f>
        <v/>
      </c>
      <c r="I40" s="154"/>
      <c r="J40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40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40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40" s="25">
        <f t="shared" si="1"/>
        <v>0</v>
      </c>
    </row>
    <row r="41" spans="2:13" ht="16.5" thickTop="1" thickBot="1" x14ac:dyDescent="0.3">
      <c r="B41" s="63"/>
      <c r="C41" s="5"/>
      <c r="D41" s="65"/>
      <c r="E41" s="26"/>
      <c r="F41" s="65"/>
      <c r="G41" s="27"/>
      <c r="H41" s="28" t="str">
        <f>IF(Tabulka3[[#This Row],[pozemní instalace FVE (kW)]]+Tabulka3[[#This Row],[střešní instalace FVE (kW)]]&gt;1000,"PŘEKROČEN LIMIT 1 MW VÝKONU FVE NA JEDNO PŘEDÁVACÍ MÍSTO","")</f>
        <v/>
      </c>
      <c r="I41" s="154"/>
      <c r="J41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41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41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41" s="25">
        <f t="shared" si="1"/>
        <v>0</v>
      </c>
    </row>
    <row r="42" spans="2:13" ht="16.5" thickTop="1" thickBot="1" x14ac:dyDescent="0.3">
      <c r="B42" s="63"/>
      <c r="C42" s="5"/>
      <c r="D42" s="65"/>
      <c r="E42" s="26"/>
      <c r="F42" s="65"/>
      <c r="G42" s="27"/>
      <c r="H42" s="28" t="str">
        <f>IF(Tabulka3[[#This Row],[pozemní instalace FVE (kW)]]+Tabulka3[[#This Row],[střešní instalace FVE (kW)]]&gt;1000,"PŘEKROČEN LIMIT 1 MW VÝKONU FVE NA JEDNO PŘEDÁVACÍ MÍSTO","")</f>
        <v/>
      </c>
      <c r="I42" s="154"/>
      <c r="J42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42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42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42" s="25">
        <f t="shared" si="1"/>
        <v>0</v>
      </c>
    </row>
    <row r="43" spans="2:13" ht="16.5" thickTop="1" thickBot="1" x14ac:dyDescent="0.3">
      <c r="B43" s="63"/>
      <c r="C43" s="5"/>
      <c r="D43" s="65"/>
      <c r="E43" s="26"/>
      <c r="F43" s="65"/>
      <c r="G43" s="27"/>
      <c r="H43" s="28" t="str">
        <f>IF(Tabulka3[[#This Row],[pozemní instalace FVE (kW)]]+Tabulka3[[#This Row],[střešní instalace FVE (kW)]]&gt;1000,"PŘEKROČEN LIMIT 1 MW VÝKONU FVE NA JEDNO PŘEDÁVACÍ MÍSTO","")</f>
        <v/>
      </c>
      <c r="I43" s="154"/>
      <c r="J43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43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43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43" s="25">
        <f t="shared" si="1"/>
        <v>0</v>
      </c>
    </row>
    <row r="44" spans="2:13" ht="16.5" thickTop="1" thickBot="1" x14ac:dyDescent="0.3">
      <c r="B44" s="63"/>
      <c r="C44" s="5"/>
      <c r="D44" s="65"/>
      <c r="E44" s="26"/>
      <c r="F44" s="65"/>
      <c r="G44" s="27"/>
      <c r="H44" s="28" t="str">
        <f>IF(Tabulka3[[#This Row],[pozemní instalace FVE (kW)]]+Tabulka3[[#This Row],[střešní instalace FVE (kW)]]&gt;1000,"PŘEKROČEN LIMIT 1 MW VÝKONU FVE NA JEDNO PŘEDÁVACÍ MÍSTO","")</f>
        <v/>
      </c>
      <c r="I44" s="154"/>
      <c r="J44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44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44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44" s="25">
        <f t="shared" si="1"/>
        <v>0</v>
      </c>
    </row>
    <row r="45" spans="2:13" ht="16.5" thickTop="1" thickBot="1" x14ac:dyDescent="0.3">
      <c r="B45" s="63"/>
      <c r="C45" s="5"/>
      <c r="D45" s="65"/>
      <c r="E45" s="26"/>
      <c r="F45" s="65"/>
      <c r="G45" s="27"/>
      <c r="H45" s="28" t="str">
        <f>IF(Tabulka3[[#This Row],[pozemní instalace FVE (kW)]]+Tabulka3[[#This Row],[střešní instalace FVE (kW)]]&gt;1000,"PŘEKROČEN LIMIT 1 MW VÝKONU FVE NA JEDNO PŘEDÁVACÍ MÍSTO","")</f>
        <v/>
      </c>
      <c r="I45" s="154"/>
      <c r="J45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45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45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45" s="25">
        <f t="shared" si="1"/>
        <v>0</v>
      </c>
    </row>
    <row r="46" spans="2:13" ht="16.5" thickTop="1" thickBot="1" x14ac:dyDescent="0.3">
      <c r="B46" s="63"/>
      <c r="C46" s="5"/>
      <c r="D46" s="65"/>
      <c r="E46" s="26"/>
      <c r="F46" s="65"/>
      <c r="G46" s="27"/>
      <c r="H46" s="28" t="str">
        <f>IF(Tabulka3[[#This Row],[pozemní instalace FVE (kW)]]+Tabulka3[[#This Row],[střešní instalace FVE (kW)]]&gt;1000,"PŘEKROČEN LIMIT 1 MW VÝKONU FVE NA JEDNO PŘEDÁVACÍ MÍSTO","")</f>
        <v/>
      </c>
      <c r="I46" s="154"/>
      <c r="J46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46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46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46" s="25">
        <f t="shared" si="1"/>
        <v>0</v>
      </c>
    </row>
    <row r="47" spans="2:13" ht="16.5" thickTop="1" thickBot="1" x14ac:dyDescent="0.3">
      <c r="B47" s="63"/>
      <c r="C47" s="5"/>
      <c r="D47" s="65"/>
      <c r="E47" s="26"/>
      <c r="F47" s="65"/>
      <c r="G47" s="27"/>
      <c r="H47" s="28" t="str">
        <f>IF(Tabulka3[[#This Row],[pozemní instalace FVE (kW)]]+Tabulka3[[#This Row],[střešní instalace FVE (kW)]]&gt;1000,"PŘEKROČEN LIMIT 1 MW VÝKONU FVE NA JEDNO PŘEDÁVACÍ MÍSTO","")</f>
        <v/>
      </c>
      <c r="I47" s="154"/>
      <c r="J47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47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47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47" s="25">
        <f t="shared" si="1"/>
        <v>0</v>
      </c>
    </row>
    <row r="48" spans="2:13" ht="16.5" thickTop="1" thickBot="1" x14ac:dyDescent="0.3">
      <c r="B48" s="63"/>
      <c r="C48" s="5"/>
      <c r="D48" s="65"/>
      <c r="E48" s="26"/>
      <c r="F48" s="65"/>
      <c r="G48" s="27"/>
      <c r="H48" s="28" t="str">
        <f>IF(Tabulka3[[#This Row],[pozemní instalace FVE (kW)]]+Tabulka3[[#This Row],[střešní instalace FVE (kW)]]&gt;1000,"PŘEKROČEN LIMIT 1 MW VÝKONU FVE NA JEDNO PŘEDÁVACÍ MÍSTO","")</f>
        <v/>
      </c>
      <c r="I48" s="154"/>
      <c r="J48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48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48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48" s="25">
        <f t="shared" si="1"/>
        <v>0</v>
      </c>
    </row>
    <row r="49" spans="1:14" ht="16.5" thickTop="1" thickBot="1" x14ac:dyDescent="0.3">
      <c r="B49" s="63"/>
      <c r="C49" s="5"/>
      <c r="D49" s="65"/>
      <c r="E49" s="26"/>
      <c r="F49" s="65"/>
      <c r="G49" s="27"/>
      <c r="H49" s="28" t="str">
        <f>IF(Tabulka3[[#This Row],[pozemní instalace FVE (kW)]]+Tabulka3[[#This Row],[střešní instalace FVE (kW)]]&gt;1000,"PŘEKROČEN LIMIT 1 MW VÝKONU FVE NA JEDNO PŘEDÁVACÍ MÍSTO","")</f>
        <v/>
      </c>
      <c r="I49" s="154"/>
      <c r="J49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49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49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49" s="25">
        <f t="shared" si="1"/>
        <v>0</v>
      </c>
    </row>
    <row r="50" spans="1:14" ht="16.5" thickTop="1" thickBot="1" x14ac:dyDescent="0.3">
      <c r="B50" s="63"/>
      <c r="C50" s="5"/>
      <c r="D50" s="65"/>
      <c r="E50" s="26"/>
      <c r="F50" s="65"/>
      <c r="G50" s="27"/>
      <c r="H50" s="28" t="str">
        <f>IF(Tabulka3[[#This Row],[pozemní instalace FVE (kW)]]+Tabulka3[[#This Row],[střešní instalace FVE (kW)]]&gt;1000,"PŘEKROČEN LIMIT 1 MW VÝKONU FVE NA JEDNO PŘEDÁVACÍ MÍSTO","")</f>
        <v/>
      </c>
      <c r="I50" s="154"/>
      <c r="J50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50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50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50" s="25">
        <f t="shared" si="1"/>
        <v>0</v>
      </c>
    </row>
    <row r="51" spans="1:14" ht="16.5" thickTop="1" thickBot="1" x14ac:dyDescent="0.3">
      <c r="B51" s="63"/>
      <c r="C51" s="5"/>
      <c r="D51" s="65"/>
      <c r="E51" s="26"/>
      <c r="F51" s="65"/>
      <c r="G51" s="27"/>
      <c r="H51" s="28" t="str">
        <f>IF(Tabulka3[[#This Row],[pozemní instalace FVE (kW)]]+Tabulka3[[#This Row],[střešní instalace FVE (kW)]]&gt;1000,"PŘEKROČEN LIMIT 1 MW VÝKONU FVE NA JEDNO PŘEDÁVACÍ MÍSTO","")</f>
        <v/>
      </c>
      <c r="I51" s="154"/>
      <c r="J51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51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51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51" s="25">
        <f t="shared" si="1"/>
        <v>0</v>
      </c>
    </row>
    <row r="52" spans="1:14" ht="16.5" thickTop="1" thickBot="1" x14ac:dyDescent="0.3">
      <c r="B52" s="64"/>
      <c r="C52" s="1"/>
      <c r="D52" s="66"/>
      <c r="E52" s="29"/>
      <c r="F52" s="66"/>
      <c r="G52" s="30"/>
      <c r="H52" s="31" t="str">
        <f>IF(Tabulka3[[#This Row],[pozemní instalace FVE (kW)]]+Tabulka3[[#This Row],[střešní instalace FVE (kW)]]&gt;1000,"PŘEKROČEN LIMIT 1 MW VÝKONU FVE NA JEDNO PŘEDÁVACÍ MÍSTO","")</f>
        <v/>
      </c>
      <c r="I52" s="154"/>
      <c r="J52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52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52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52" s="25">
        <f t="shared" si="1"/>
        <v>0</v>
      </c>
    </row>
    <row r="53" spans="1:14" s="39" customFormat="1" ht="3" customHeight="1" thickTop="1" x14ac:dyDescent="0.25">
      <c r="A53" s="16"/>
      <c r="B53" s="32"/>
      <c r="C53" s="6"/>
      <c r="D53" s="33"/>
      <c r="E53" s="34"/>
      <c r="F53" s="33"/>
      <c r="G53" s="35"/>
      <c r="H53" s="36" t="str">
        <f>IF(Tabulka3[[#This Row],[pozemní instalace FVE (kW)]]+Tabulka3[[#This Row],[střešní instalace FVE (kW)]]&gt;1000,"PŘEKROČEN LIMIT 1 MW VÝKONU FVE NA JEDNO PŘEDÁVACÍ MÍSTO","")</f>
        <v/>
      </c>
      <c r="I53" s="154"/>
      <c r="J53" s="37"/>
      <c r="K53" s="37"/>
      <c r="L53" s="37"/>
      <c r="M53" s="38"/>
    </row>
    <row r="54" spans="1:14" ht="24" customHeight="1" thickBot="1" x14ac:dyDescent="0.3">
      <c r="A54" s="40"/>
      <c r="B54" s="41" t="s">
        <v>16</v>
      </c>
      <c r="C54" s="11"/>
      <c r="D54" s="42">
        <f>SUBTOTAL(109,D3:D52)</f>
        <v>0</v>
      </c>
      <c r="E54" s="43"/>
      <c r="F54" s="42">
        <f t="shared" ref="F54" si="2">SUBTOTAL(109,F3:F52)</f>
        <v>0</v>
      </c>
      <c r="G54" s="44"/>
      <c r="H54" s="45"/>
      <c r="I54" s="155"/>
      <c r="J54" s="46">
        <f>SUM(J3:J52)</f>
        <v>0</v>
      </c>
      <c r="K54" s="46">
        <f>SUM(K3:K52)</f>
        <v>0</v>
      </c>
      <c r="L54" s="46">
        <f>SUM(L3:L52)</f>
        <v>0</v>
      </c>
      <c r="M54" s="47">
        <f t="shared" si="1"/>
        <v>0</v>
      </c>
    </row>
    <row r="55" spans="1:14" ht="15.75" hidden="1" thickTop="1" x14ac:dyDescent="0.25">
      <c r="A55" s="48"/>
      <c r="B55" s="49"/>
      <c r="C55" s="8"/>
      <c r="D55" s="50"/>
      <c r="E55" s="50"/>
      <c r="F55" s="50"/>
      <c r="G55" s="50"/>
      <c r="H55" s="50"/>
      <c r="I55" s="48"/>
      <c r="J55" s="51"/>
      <c r="K55" s="52"/>
      <c r="L55" s="52"/>
      <c r="M55" s="52"/>
    </row>
    <row r="57" spans="1:14" hidden="1" x14ac:dyDescent="0.25">
      <c r="M57" s="56"/>
      <c r="N57" s="57"/>
    </row>
    <row r="58" spans="1:14" hidden="1" x14ac:dyDescent="0.25">
      <c r="A58" s="58"/>
      <c r="B58" s="59"/>
      <c r="C58" s="9"/>
      <c r="D58" s="60"/>
      <c r="E58" s="60"/>
      <c r="F58" s="60"/>
      <c r="G58" s="60"/>
      <c r="H58" s="60"/>
      <c r="I58" s="61"/>
    </row>
  </sheetData>
  <sheetProtection algorithmName="SHA-512" hashValue="QZ/BOScBgMrY7t0jP6/dIvxAjV9SS1TOlTdYGs99nE6ZOtmr55uL296euF0rWjAoommwTiJpwmhNg70nHWgbAQ==" saltValue="cs7AFZuIQpos6DkZW5T8EA==" spinCount="100000" sheet="1" objects="1" scenarios="1"/>
  <mergeCells count="2">
    <mergeCell ref="I2:I54"/>
    <mergeCell ref="A1:I1"/>
  </mergeCells>
  <pageMargins left="0.7" right="0.7" top="0.78740157499999996" bottom="0.78740157499999996" header="0.3" footer="0.3"/>
  <pageSetup paperSize="9" scale="66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J56"/>
  <sheetViews>
    <sheetView showGridLines="0" showRowColHeaders="0" zoomScaleNormal="100" workbookViewId="0">
      <selection activeCell="B3" sqref="B3"/>
    </sheetView>
  </sheetViews>
  <sheetFormatPr defaultColWidth="0" defaultRowHeight="15" zeroHeight="1" x14ac:dyDescent="0.25"/>
  <cols>
    <col min="1" max="1" width="5.7109375" style="15" customWidth="1"/>
    <col min="2" max="2" width="17.7109375" style="53" customWidth="1"/>
    <col min="3" max="3" width="4.7109375" style="53" customWidth="1"/>
    <col min="4" max="4" width="20.7109375" style="15" customWidth="1"/>
    <col min="5" max="5" width="4.7109375" style="15" customWidth="1"/>
    <col min="6" max="6" width="67.42578125" style="15" customWidth="1"/>
    <col min="7" max="7" width="5.7109375" style="15" customWidth="1"/>
    <col min="8" max="8" width="0.140625" style="14" customWidth="1"/>
    <col min="9" max="9" width="3.7109375" style="15" hidden="1" customWidth="1"/>
    <col min="10" max="10" width="0" style="15" hidden="1" customWidth="1"/>
    <col min="11" max="16384" width="9.140625" style="15" hidden="1"/>
  </cols>
  <sheetData>
    <row r="1" spans="1:9" ht="21" customHeight="1" thickBot="1" x14ac:dyDescent="0.3">
      <c r="A1" s="164" t="s">
        <v>46</v>
      </c>
      <c r="B1" s="164"/>
      <c r="C1" s="164"/>
      <c r="D1" s="164"/>
      <c r="E1" s="164"/>
      <c r="F1" s="164"/>
      <c r="G1" s="164"/>
      <c r="H1" s="67"/>
      <c r="I1" s="68"/>
    </row>
    <row r="2" spans="1:9" s="20" customFormat="1" ht="38.25" customHeight="1" thickTop="1" thickBot="1" x14ac:dyDescent="0.3">
      <c r="A2" s="158"/>
      <c r="B2" s="69" t="s">
        <v>42</v>
      </c>
      <c r="C2" s="12" t="s">
        <v>37</v>
      </c>
      <c r="D2" s="69" t="s">
        <v>45</v>
      </c>
      <c r="E2" s="12" t="s">
        <v>41</v>
      </c>
      <c r="F2" s="70" t="s">
        <v>32</v>
      </c>
      <c r="G2" s="161"/>
      <c r="H2" s="19" t="s">
        <v>27</v>
      </c>
    </row>
    <row r="3" spans="1:9" ht="15.75" thickBot="1" x14ac:dyDescent="0.3">
      <c r="A3" s="159"/>
      <c r="B3" s="90"/>
      <c r="C3" s="71"/>
      <c r="D3" s="94"/>
      <c r="E3" s="72"/>
      <c r="F3" s="73" t="str">
        <f>IF(SUM($D$3:D3)&lt;0.2*(FVE!$D$54+FVE!$F$54),SUM($D$3:D3)-0.2*(FVE!$D$54+FVE!$F$54),IF(AND(SUM($D$3:D3)&gt;=0.2*(FVE!$D$54+FVE!$F$54),SUM($D$3:D3)&lt;(FVE!$D$54+FVE!$F$54)),(FVE!$D$54+FVE!$F$54)-SUM($D$3:D3),IF(SUM($D$3:D3)&gt;=(FVE!$D$54+FVE!$F$54),"max. dotace byla dosažena (100% výkonu FVE) - další výdaje jsou NEZPŮSOBILÉ","")))</f>
        <v>max. dotace byla dosažena (100% výkonu FVE) - další výdaje jsou NEZPŮSOBILÉ</v>
      </c>
      <c r="G3" s="162"/>
      <c r="H3" s="24">
        <f>IF(OR($D$53&lt;0.2*(FVE!$D$54+FVE!$F$54),Tabulka32[[#This Row],[KAPACITA AKUMULACE
(kWh)]]=0),0,IF(AND($D$53&gt;=0.2*(FVE!$D$54+FVE!$F$54),SUM($D$3:D3)&lt;=(FVE!$D$54+FVE!$F$54)),Tabulka32[[#This Row],[KAPACITA AKUMULACE
(kWh)]]*(-629.7*LN(Tabulka32[[#This Row],[KAPACITA AKUMULACE
(kWh)]])+25100),IF(AND($D$53&gt;=0.2*(FVE!$D$54+FVE!$F$54),SUM($D2:D$3)&lt;(FVE!$D$54+FVE!$F$54),SUM($D$3:D3)&gt;(FVE!$D$54+FVE!$F$54)),((FVE!$D$54+FVE!$F$54)-SUM($D2:D$3))*(-629.7*LN((FVE!$D$54+FVE!$F$54)-SUM($D2:D$3))+25100),IF(AND($D$53&gt;=0.2*(FVE!$D$54+FVE!$F$54),SUM($D2:D$3)&gt;(FVE!$D$54+FVE!$F$54)),0))))</f>
        <v>0</v>
      </c>
      <c r="I3" s="74"/>
    </row>
    <row r="4" spans="1:9" ht="16.5" thickTop="1" thickBot="1" x14ac:dyDescent="0.3">
      <c r="A4" s="159"/>
      <c r="B4" s="91"/>
      <c r="C4" s="75"/>
      <c r="D4" s="95"/>
      <c r="E4" s="76"/>
      <c r="F4" s="77" t="str">
        <f>IF(SUM($D$3:D4)&lt;0.2*(FVE!$D$54+FVE!$F$54),SUM($D$3:D4)-0.2*(FVE!$D$54+FVE!$F$54),IF(AND(SUM($D$3:D4)&gt;=0.2*(FVE!$D$54+FVE!$F$54),SUM($D$3:D4)&lt;(FVE!$D$54+FVE!$F$54)),(FVE!$D$54+FVE!$F$54)-SUM($D$3:D4),IF(AND(SUM($D$3:D4)&gt;=0.2*(FVE!$D$54+FVE!$F$54),SUM($D$3:D4)&gt;=(FVE!$D$54+FVE!$F$54),SUM($D3:D$3)&lt;(FVE!$D$54+FVE!$F$54)),"MAX. DOTACE BYLA DOSAŽENA (100% VÝKONU FVE) - DALŠÍ VÝDAJE JSOU NEZPŮSOBILÉ",IF(SUM($D3:D$3)&gt;=(FVE!$D$54+FVE!$F$54),""))))</f>
        <v/>
      </c>
      <c r="G4" s="162"/>
      <c r="H4" s="24">
        <f>IF(OR($D$53&lt;0.2*(FVE!$D$54+FVE!$F$54),Tabulka32[[#This Row],[KAPACITA AKUMULACE
(kWh)]]=0),0,IF(AND($D$53&gt;=0.2*(FVE!$D$54+FVE!$F$54),SUM($D$3:D4)&lt;=(FVE!$D$54+FVE!$F$54)),Tabulka32[[#This Row],[KAPACITA AKUMULACE
(kWh)]]*(-629.7*LN(Tabulka32[[#This Row],[KAPACITA AKUMULACE
(kWh)]])+25100),IF(AND($D$53&gt;=0.2*(FVE!$D$54+FVE!$F$54),SUM($D$3:D3)&lt;(FVE!$D$54+FVE!$F$54),SUM($D$3:D4)&gt;(FVE!$D$54+FVE!$F$54)),((FVE!$D$54+FVE!$F$54)-SUM($D$3:D3))*(-629.7*LN((FVE!$D$54+FVE!$F$54)-SUM($D$3:D3))+25100),IF(AND($D$53&gt;=0.2*(FVE!$D$54+FVE!$F$54),SUM($D$3:D3)&gt;(FVE!$D$54+FVE!$F$54)),0))))</f>
        <v>0</v>
      </c>
      <c r="I4" s="74"/>
    </row>
    <row r="5" spans="1:9" ht="16.5" thickTop="1" thickBot="1" x14ac:dyDescent="0.3">
      <c r="A5" s="159"/>
      <c r="B5" s="91"/>
      <c r="C5" s="75"/>
      <c r="D5" s="95"/>
      <c r="E5" s="76"/>
      <c r="F5" s="77" t="str">
        <f>IF(SUM($D$3:D5)&lt;0.2*(FVE!$D$54+FVE!$F$54),SUM($D$3:D5)-0.2*(FVE!$D$54+FVE!$F$54),IF(AND(SUM($D$3:D5)&gt;=0.2*(FVE!$D$54+FVE!$F$54),SUM($D$3:D5)&lt;(FVE!$D$54+FVE!$F$54)),(FVE!$D$54+FVE!$F$54)-SUM($D$3:D5),IF(AND(SUM($D$3:D5)&gt;=0.2*(FVE!$D$54+FVE!$F$54),SUM($D$3:D5)&gt;=(FVE!$D$54+FVE!$F$54),SUM($D$3:D4)&lt;(FVE!$D$54+FVE!$F$54)),"MAX. DOTACE BYLA DOSAŽENA (100% VÝKONU FVE) - DALŠÍ VÝDAJE JSOU NEZPŮSOBILÉ",IF(SUM($D$3:D4)&gt;=(FVE!$D$54+FVE!$F$54),""))))</f>
        <v/>
      </c>
      <c r="G5" s="162"/>
      <c r="H5" s="24">
        <f>IF(OR($D$53&lt;0.2*(FVE!$D$54+FVE!$F$54),Tabulka32[[#This Row],[KAPACITA AKUMULACE
(kWh)]]=0),0,IF(AND($D$53&gt;=0.2*(FVE!$D$54+FVE!$F$54),SUM($D$3:D5)&lt;=(FVE!$D$54+FVE!$F$54)),Tabulka32[[#This Row],[KAPACITA AKUMULACE
(kWh)]]*(-629.7*LN(Tabulka32[[#This Row],[KAPACITA AKUMULACE
(kWh)]])+25100),IF(AND($D$53&gt;=0.2*(FVE!$D$54+FVE!$F$54),SUM($D$3:D4)&lt;(FVE!$D$54+FVE!$F$54),SUM($D$3:D5)&gt;(FVE!$D$54+FVE!$F$54)),((FVE!$D$54+FVE!$F$54)-SUM($D$3:D4))*(-629.7*LN((FVE!$D$54+FVE!$F$54)-SUM($D$3:D4))+25100),IF(AND($D$53&gt;=0.2*(FVE!$D$54+FVE!$F$54),SUM($D$3:D4)&gt;(FVE!$D$54+FVE!$F$54)),0))))</f>
        <v>0</v>
      </c>
      <c r="I5" s="74"/>
    </row>
    <row r="6" spans="1:9" ht="16.5" thickTop="1" thickBot="1" x14ac:dyDescent="0.3">
      <c r="A6" s="159"/>
      <c r="B6" s="91"/>
      <c r="C6" s="75"/>
      <c r="D6" s="95"/>
      <c r="E6" s="76"/>
      <c r="F6" s="77" t="str">
        <f>IF(SUM($D$3:D6)&lt;0.2*(FVE!$D$54+FVE!$F$54),SUM($D$3:D6)-0.2*(FVE!$D$54+FVE!$F$54),IF(AND(SUM($D$3:D6)&gt;=0.2*(FVE!$D$54+FVE!$F$54),SUM($D$3:D6)&lt;(FVE!$D$54+FVE!$F$54)),(FVE!$D$54+FVE!$F$54)-SUM($D$3:D6),IF(AND(SUM($D$3:D6)&gt;=0.2*(FVE!$D$54+FVE!$F$54),SUM($D$3:D6)&gt;=(FVE!$D$54+FVE!$F$54),SUM($D$3:D5)&lt;(FVE!$D$54+FVE!$F$54)),"MAX. DOTACE BYLA DOSAŽENA (100% VÝKONU FVE) - DALŠÍ VÝDAJE JSOU NEZPŮSOBILÉ",IF(SUM($D$3:D5)&gt;=(FVE!$D$54+FVE!$F$54),""))))</f>
        <v/>
      </c>
      <c r="G6" s="162"/>
      <c r="H6" s="24">
        <f>IF(OR($D$53&lt;0.2*(FVE!$D$54+FVE!$F$54),Tabulka32[[#This Row],[KAPACITA AKUMULACE
(kWh)]]=0),0,IF(AND($D$53&gt;=0.2*(FVE!$D$54+FVE!$F$54),SUM($D$3:D6)&lt;=(FVE!$D$54+FVE!$F$54)),Tabulka32[[#This Row],[KAPACITA AKUMULACE
(kWh)]]*(-629.7*LN(Tabulka32[[#This Row],[KAPACITA AKUMULACE
(kWh)]])+25100),IF(AND($D$53&gt;=0.2*(FVE!$D$54+FVE!$F$54),SUM($D$3:D5)&lt;(FVE!$D$54+FVE!$F$54),SUM($D$3:D6)&gt;(FVE!$D$54+FVE!$F$54)),((FVE!$D$54+FVE!$F$54)-SUM($D$3:D5))*(-629.7*LN((FVE!$D$54+FVE!$F$54)-SUM($D$3:D5))+25100),IF(AND($D$53&gt;=0.2*(FVE!$D$54+FVE!$F$54),SUM($D$3:D5)&gt;(FVE!$D$54+FVE!$F$54)),0))))</f>
        <v>0</v>
      </c>
      <c r="I6" s="74"/>
    </row>
    <row r="7" spans="1:9" ht="16.5" thickTop="1" thickBot="1" x14ac:dyDescent="0.3">
      <c r="A7" s="159"/>
      <c r="B7" s="91"/>
      <c r="C7" s="75"/>
      <c r="D7" s="95"/>
      <c r="E7" s="76"/>
      <c r="F7" s="77" t="str">
        <f>IF(SUM($D$3:D7)&lt;0.2*(FVE!$D$54+FVE!$F$54),SUM($D$3:D7)-0.2*(FVE!$D$54+FVE!$F$54),IF(AND(SUM($D$3:D7)&gt;=0.2*(FVE!$D$54+FVE!$F$54),SUM($D$3:D7)&lt;(FVE!$D$54+FVE!$F$54)),(FVE!$D$54+FVE!$F$54)-SUM($D$3:D7),IF(AND(SUM($D$3:D7)&gt;=0.2*(FVE!$D$54+FVE!$F$54),SUM($D$3:D7)&gt;=(FVE!$D$54+FVE!$F$54),SUM($D$3:D6)&lt;(FVE!$D$54+FVE!$F$54)),"MAX. DOTACE BYLA DOSAŽENA (100% VÝKONU FVE) - DALŠÍ VÝDAJE JSOU NEZPŮSOBILÉ",IF(SUM($D$3:D6)&gt;=(FVE!$D$54+FVE!$F$54),""))))</f>
        <v/>
      </c>
      <c r="G7" s="162"/>
      <c r="H7" s="24">
        <f>IF(OR($D$53&lt;0.2*(FVE!$D$54+FVE!$F$54),Tabulka32[[#This Row],[KAPACITA AKUMULACE
(kWh)]]=0),0,IF(AND($D$53&gt;=0.2*(FVE!$D$54+FVE!$F$54),SUM($D$3:D7)&lt;=(FVE!$D$54+FVE!$F$54)),Tabulka32[[#This Row],[KAPACITA AKUMULACE
(kWh)]]*(-629.7*LN(Tabulka32[[#This Row],[KAPACITA AKUMULACE
(kWh)]])+25100),IF(AND($D$53&gt;=0.2*(FVE!$D$54+FVE!$F$54),SUM($D$3:D6)&lt;(FVE!$D$54+FVE!$F$54),SUM($D$3:D7)&gt;(FVE!$D$54+FVE!$F$54)),((FVE!$D$54+FVE!$F$54)-SUM($D$3:D6))*(-629.7*LN((FVE!$D$54+FVE!$F$54)-SUM($D$3:D6))+25100),IF(AND($D$53&gt;=0.2*(FVE!$D$54+FVE!$F$54),SUM($D$3:D6)&gt;(FVE!$D$54+FVE!$F$54)),0))))</f>
        <v>0</v>
      </c>
      <c r="I7" s="74"/>
    </row>
    <row r="8" spans="1:9" ht="16.5" thickTop="1" thickBot="1" x14ac:dyDescent="0.3">
      <c r="A8" s="159"/>
      <c r="B8" s="91"/>
      <c r="C8" s="75"/>
      <c r="D8" s="95"/>
      <c r="E8" s="76"/>
      <c r="F8" s="77" t="str">
        <f>IF(SUM($D$3:D8)&lt;0.2*(FVE!$D$54+FVE!$F$54),SUM($D$3:D8)-0.2*(FVE!$D$54+FVE!$F$54),IF(AND(SUM($D$3:D8)&gt;=0.2*(FVE!$D$54+FVE!$F$54),SUM($D$3:D8)&lt;(FVE!$D$54+FVE!$F$54)),(FVE!$D$54+FVE!$F$54)-SUM($D$3:D8),IF(AND(SUM($D$3:D8)&gt;=0.2*(FVE!$D$54+FVE!$F$54),SUM($D$3:D8)&gt;=(FVE!$D$54+FVE!$F$54),SUM($D$3:D7)&lt;(FVE!$D$54+FVE!$F$54)),"MAX. DOTACE BYLA DOSAŽENA (100% VÝKONU FVE) - DALŠÍ VÝDAJE JSOU NEZPŮSOBILÉ",IF(SUM($D$3:D7)&gt;=(FVE!$D$54+FVE!$F$54),""))))</f>
        <v/>
      </c>
      <c r="G8" s="162"/>
      <c r="H8" s="24">
        <f>IF(OR($D$53&lt;0.2*(FVE!$D$54+FVE!$F$54),Tabulka32[[#This Row],[KAPACITA AKUMULACE
(kWh)]]=0),0,IF(AND($D$53&gt;=0.2*(FVE!$D$54+FVE!$F$54),SUM($D$3:D8)&lt;=(FVE!$D$54+FVE!$F$54)),Tabulka32[[#This Row],[KAPACITA AKUMULACE
(kWh)]]*(-629.7*LN(Tabulka32[[#This Row],[KAPACITA AKUMULACE
(kWh)]])+25100),IF(AND($D$53&gt;=0.2*(FVE!$D$54+FVE!$F$54),SUM($D$3:D7)&lt;(FVE!$D$54+FVE!$F$54),SUM($D$3:D8)&gt;(FVE!$D$54+FVE!$F$54)),((FVE!$D$54+FVE!$F$54)-SUM($D$3:D7))*(-629.7*LN((FVE!$D$54+FVE!$F$54)-SUM($D$3:D7))+25100),IF(AND($D$53&gt;=0.2*(FVE!$D$54+FVE!$F$54),SUM($D$3:D7)&gt;(FVE!$D$54+FVE!$F$54)),0))))</f>
        <v>0</v>
      </c>
      <c r="I8" s="74"/>
    </row>
    <row r="9" spans="1:9" ht="16.5" thickTop="1" thickBot="1" x14ac:dyDescent="0.3">
      <c r="A9" s="159"/>
      <c r="B9" s="91"/>
      <c r="C9" s="75"/>
      <c r="D9" s="95"/>
      <c r="E9" s="76"/>
      <c r="F9" s="77" t="str">
        <f>IF(SUM($D$3:D9)&lt;0.2*(FVE!$D$54+FVE!$F$54),SUM($D$3:D9)-0.2*(FVE!$D$54+FVE!$F$54),IF(AND(SUM($D$3:D9)&gt;=0.2*(FVE!$D$54+FVE!$F$54),SUM($D$3:D9)&lt;(FVE!$D$54+FVE!$F$54)),(FVE!$D$54+FVE!$F$54)-SUM($D$3:D9),IF(AND(SUM($D$3:D9)&gt;=0.2*(FVE!$D$54+FVE!$F$54),SUM($D$3:D9)&gt;=(FVE!$D$54+FVE!$F$54),SUM($D$3:D8)&lt;(FVE!$D$54+FVE!$F$54)),"MAX. DOTACE BYLA DOSAŽENA (100% VÝKONU FVE) - DALŠÍ VÝDAJE JSOU NEZPŮSOBILÉ",IF(SUM($D$3:D8)&gt;=(FVE!$D$54+FVE!$F$54),""))))</f>
        <v/>
      </c>
      <c r="G9" s="162"/>
      <c r="H9" s="24">
        <f>IF(OR($D$53&lt;0.2*(FVE!$D$54+FVE!$F$54),Tabulka32[[#This Row],[KAPACITA AKUMULACE
(kWh)]]=0),0,IF(AND($D$53&gt;=0.2*(FVE!$D$54+FVE!$F$54),SUM($D$3:D9)&lt;=(FVE!$D$54+FVE!$F$54)),Tabulka32[[#This Row],[KAPACITA AKUMULACE
(kWh)]]*(-629.7*LN(Tabulka32[[#This Row],[KAPACITA AKUMULACE
(kWh)]])+25100),IF(AND($D$53&gt;=0.2*(FVE!$D$54+FVE!$F$54),SUM($D$3:D8)&lt;(FVE!$D$54+FVE!$F$54),SUM($D$3:D9)&gt;(FVE!$D$54+FVE!$F$54)),((FVE!$D$54+FVE!$F$54)-SUM($D$3:D8))*(-629.7*LN((FVE!$D$54+FVE!$F$54)-SUM($D$3:D8))+25100),IF(AND($D$53&gt;=0.2*(FVE!$D$54+FVE!$F$54),SUM($D$3:D8)&gt;(FVE!$D$54+FVE!$F$54)),0))))</f>
        <v>0</v>
      </c>
      <c r="I9" s="74"/>
    </row>
    <row r="10" spans="1:9" ht="16.5" thickTop="1" thickBot="1" x14ac:dyDescent="0.3">
      <c r="A10" s="159"/>
      <c r="B10" s="91"/>
      <c r="C10" s="75"/>
      <c r="D10" s="94"/>
      <c r="E10" s="76"/>
      <c r="F10" s="77" t="str">
        <f>IF(SUM($D$3:D10)&lt;0.2*(FVE!$D$54+FVE!$F$54),SUM($D$3:D10)-0.2*(FVE!$D$54+FVE!$F$54),IF(AND(SUM($D$3:D10)&gt;=0.2*(FVE!$D$54+FVE!$F$54),SUM($D$3:D10)&lt;(FVE!$D$54+FVE!$F$54)),(FVE!$D$54+FVE!$F$54)-SUM($D$3:D10),IF(AND(SUM($D$3:D10)&gt;=0.2*(FVE!$D$54+FVE!$F$54),SUM($D$3:D10)&gt;=(FVE!$D$54+FVE!$F$54),SUM($D$3:D9)&lt;(FVE!$D$54+FVE!$F$54)),"MAX. DOTACE BYLA DOSAŽENA (100% VÝKONU FVE) - DALŠÍ VÝDAJE JSOU NEZPŮSOBILÉ",IF(SUM($D$3:D9)&gt;=(FVE!$D$54+FVE!$F$54),""))))</f>
        <v/>
      </c>
      <c r="G10" s="162"/>
      <c r="H10" s="24">
        <f>IF(OR($D$53&lt;0.2*(FVE!$D$54+FVE!$F$54),Tabulka32[[#This Row],[KAPACITA AKUMULACE
(kWh)]]=0),0,IF(AND($D$53&gt;=0.2*(FVE!$D$54+FVE!$F$54),SUM($D$3:D10)&lt;=(FVE!$D$54+FVE!$F$54)),Tabulka32[[#This Row],[KAPACITA AKUMULACE
(kWh)]]*(-629.7*LN(Tabulka32[[#This Row],[KAPACITA AKUMULACE
(kWh)]])+25100),IF(AND($D$53&gt;=0.2*(FVE!$D$54+FVE!$F$54),SUM($D$3:D9)&lt;(FVE!$D$54+FVE!$F$54),SUM($D$3:D10)&gt;(FVE!$D$54+FVE!$F$54)),((FVE!$D$54+FVE!$F$54)-SUM($D$3:D9))*(-629.7*LN((FVE!$D$54+FVE!$F$54)-SUM($D$3:D9))+25100),IF(AND($D$53&gt;=0.2*(FVE!$D$54+FVE!$F$54),SUM($D$3:D9)&gt;(FVE!$D$54+FVE!$F$54)),0))))</f>
        <v>0</v>
      </c>
      <c r="I10" s="74"/>
    </row>
    <row r="11" spans="1:9" ht="16.5" thickTop="1" thickBot="1" x14ac:dyDescent="0.3">
      <c r="A11" s="159"/>
      <c r="B11" s="91"/>
      <c r="C11" s="75"/>
      <c r="D11" s="95"/>
      <c r="E11" s="76"/>
      <c r="F11" s="77" t="str">
        <f>IF(SUM($D$3:D11)&lt;0.2*(FVE!$D$54+FVE!$F$54),SUM($D$3:D11)-0.2*(FVE!$D$54+FVE!$F$54),IF(AND(SUM($D$3:D11)&gt;=0.2*(FVE!$D$54+FVE!$F$54),SUM($D$3:D11)&lt;(FVE!$D$54+FVE!$F$54)),(FVE!$D$54+FVE!$F$54)-SUM($D$3:D11),IF(AND(SUM($D$3:D11)&gt;=0.2*(FVE!$D$54+FVE!$F$54),SUM($D$3:D11)&gt;=(FVE!$D$54+FVE!$F$54),SUM($D$3:D10)&lt;(FVE!$D$54+FVE!$F$54)),"MAX. DOTACE BYLA DOSAŽENA (100% VÝKONU FVE) - DALŠÍ VÝDAJE JSOU NEZPŮSOBILÉ",IF(SUM($D$3:D10)&gt;=(FVE!$D$54+FVE!$F$54),""))))</f>
        <v/>
      </c>
      <c r="G11" s="162"/>
      <c r="H11" s="24">
        <f>IF(OR($D$53&lt;0.2*(FVE!$D$54+FVE!$F$54),Tabulka32[[#This Row],[KAPACITA AKUMULACE
(kWh)]]=0),0,IF(AND($D$53&gt;=0.2*(FVE!$D$54+FVE!$F$54),SUM($D$3:D11)&lt;=(FVE!$D$54+FVE!$F$54)),Tabulka32[[#This Row],[KAPACITA AKUMULACE
(kWh)]]*(-629.7*LN(Tabulka32[[#This Row],[KAPACITA AKUMULACE
(kWh)]])+25100),IF(AND($D$53&gt;=0.2*(FVE!$D$54+FVE!$F$54),SUM($D$3:D10)&lt;(FVE!$D$54+FVE!$F$54),SUM($D$3:D11)&gt;(FVE!$D$54+FVE!$F$54)),((FVE!$D$54+FVE!$F$54)-SUM($D$3:D10))*(-629.7*LN((FVE!$D$54+FVE!$F$54)-SUM($D$3:D10))+25100),IF(AND($D$53&gt;=0.2*(FVE!$D$54+FVE!$F$54),SUM($D$3:D10)&gt;(FVE!$D$54+FVE!$F$54)),0))))</f>
        <v>0</v>
      </c>
      <c r="I11" s="74"/>
    </row>
    <row r="12" spans="1:9" ht="16.5" thickTop="1" thickBot="1" x14ac:dyDescent="0.3">
      <c r="A12" s="159"/>
      <c r="B12" s="92"/>
      <c r="C12" s="75"/>
      <c r="D12" s="95"/>
      <c r="E12" s="76"/>
      <c r="F12" s="77" t="str">
        <f>IF(SUM($D$3:D12)&lt;0.2*(FVE!$D$54+FVE!$F$54),SUM($D$3:D12)-0.2*(FVE!$D$54+FVE!$F$54),IF(AND(SUM($D$3:D12)&gt;=0.2*(FVE!$D$54+FVE!$F$54),SUM($D$3:D12)&lt;(FVE!$D$54+FVE!$F$54)),(FVE!$D$54+FVE!$F$54)-SUM($D$3:D12),IF(AND(SUM($D$3:D12)&gt;=0.2*(FVE!$D$54+FVE!$F$54),SUM($D$3:D12)&gt;=(FVE!$D$54+FVE!$F$54),SUM($D$3:D11)&lt;(FVE!$D$54+FVE!$F$54)),"MAX. DOTACE BYLA DOSAŽENA (100% VÝKONU FVE) - DALŠÍ VÝDAJE JSOU NEZPŮSOBILÉ",IF(SUM($D$3:D11)&gt;=(FVE!$D$54+FVE!$F$54),""))))</f>
        <v/>
      </c>
      <c r="G12" s="162"/>
      <c r="H12" s="24">
        <f>IF(OR($D$53&lt;0.2*(FVE!$D$54+FVE!$F$54),Tabulka32[[#This Row],[KAPACITA AKUMULACE
(kWh)]]=0),0,IF(AND($D$53&gt;=0.2*(FVE!$D$54+FVE!$F$54),SUM($D$3:D12)&lt;=(FVE!$D$54+FVE!$F$54)),Tabulka32[[#This Row],[KAPACITA AKUMULACE
(kWh)]]*(-629.7*LN(Tabulka32[[#This Row],[KAPACITA AKUMULACE
(kWh)]])+25100),IF(AND($D$53&gt;=0.2*(FVE!$D$54+FVE!$F$54),SUM($D$3:D11)&lt;(FVE!$D$54+FVE!$F$54),SUM($D$3:D12)&gt;(FVE!$D$54+FVE!$F$54)),((FVE!$D$54+FVE!$F$54)-SUM($D$3:D11))*(-629.7*LN((FVE!$D$54+FVE!$F$54)-SUM($D$3:D11))+25100),IF(AND($D$53&gt;=0.2*(FVE!$D$54+FVE!$F$54),SUM($D$3:D11)&gt;(FVE!$D$54+FVE!$F$54)),0))))</f>
        <v>0</v>
      </c>
      <c r="I12" s="74"/>
    </row>
    <row r="13" spans="1:9" ht="16.5" thickTop="1" thickBot="1" x14ac:dyDescent="0.3">
      <c r="A13" s="159"/>
      <c r="B13" s="91"/>
      <c r="C13" s="75"/>
      <c r="D13" s="95"/>
      <c r="E13" s="76"/>
      <c r="F13" s="77" t="str">
        <f>IF(SUM($D$3:D13)&lt;0.2*(FVE!$D$54+FVE!$F$54),SUM($D$3:D13)-0.2*(FVE!$D$54+FVE!$F$54),IF(AND(SUM($D$3:D13)&gt;=0.2*(FVE!$D$54+FVE!$F$54),SUM($D$3:D13)&lt;(FVE!$D$54+FVE!$F$54)),(FVE!$D$54+FVE!$F$54)-SUM($D$3:D13),IF(AND(SUM($D$3:D13)&gt;=0.2*(FVE!$D$54+FVE!$F$54),SUM($D$3:D13)&gt;=(FVE!$D$54+FVE!$F$54),SUM($D$3:D12)&lt;(FVE!$D$54+FVE!$F$54)),"MAX. DOTACE BYLA DOSAŽENA (100% VÝKONU FVE) - DALŠÍ VÝDAJE JSOU NEZPŮSOBILÉ",IF(SUM($D$3:D12)&gt;=(FVE!$D$54+FVE!$F$54),""))))</f>
        <v/>
      </c>
      <c r="G13" s="162"/>
      <c r="H13" s="24">
        <f>IF(OR($D$53&lt;0.2*(FVE!$D$54+FVE!$F$54),Tabulka32[[#This Row],[KAPACITA AKUMULACE
(kWh)]]=0),0,IF(AND($D$53&gt;=0.2*(FVE!$D$54+FVE!$F$54),SUM($D$3:D13)&lt;=(FVE!$D$54+FVE!$F$54)),Tabulka32[[#This Row],[KAPACITA AKUMULACE
(kWh)]]*(-629.7*LN(Tabulka32[[#This Row],[KAPACITA AKUMULACE
(kWh)]])+25100),IF(AND($D$53&gt;=0.2*(FVE!$D$54+FVE!$F$54),SUM($D$3:D12)&lt;(FVE!$D$54+FVE!$F$54),SUM($D$3:D13)&gt;(FVE!$D$54+FVE!$F$54)),((FVE!$D$54+FVE!$F$54)-SUM($D$3:D12))*(-629.7*LN((FVE!$D$54+FVE!$F$54)-SUM($D$3:D12))+25100),IF(AND($D$53&gt;=0.2*(FVE!$D$54+FVE!$F$54),SUM($D$3:D12)&gt;(FVE!$D$54+FVE!$F$54)),0))))</f>
        <v>0</v>
      </c>
      <c r="I13" s="74"/>
    </row>
    <row r="14" spans="1:9" ht="16.5" thickTop="1" thickBot="1" x14ac:dyDescent="0.3">
      <c r="A14" s="159"/>
      <c r="B14" s="91"/>
      <c r="C14" s="75"/>
      <c r="D14" s="95"/>
      <c r="E14" s="76"/>
      <c r="F14" s="77" t="str">
        <f>IF(SUM($D$3:D14)&lt;0.2*(FVE!$D$54+FVE!$F$54),SUM($D$3:D14)-0.2*(FVE!$D$54+FVE!$F$54),IF(AND(SUM($D$3:D14)&gt;=0.2*(FVE!$D$54+FVE!$F$54),SUM($D$3:D14)&lt;(FVE!$D$54+FVE!$F$54)),(FVE!$D$54+FVE!$F$54)-SUM($D$3:D14),IF(AND(SUM($D$3:D14)&gt;=0.2*(FVE!$D$54+FVE!$F$54),SUM($D$3:D14)&gt;=(FVE!$D$54+FVE!$F$54),SUM($D$3:D13)&lt;(FVE!$D$54+FVE!$F$54)),"MAX. DOTACE BYLA DOSAŽENA (100% VÝKONU FVE) - DALŠÍ VÝDAJE JSOU NEZPŮSOBILÉ",IF(SUM($D$3:D13)&gt;=(FVE!$D$54+FVE!$F$54),""))))</f>
        <v/>
      </c>
      <c r="G14" s="162"/>
      <c r="H14" s="24">
        <f>IF(OR($D$53&lt;0.2*(FVE!$D$54+FVE!$F$54),Tabulka32[[#This Row],[KAPACITA AKUMULACE
(kWh)]]=0),0,IF(AND($D$53&gt;=0.2*(FVE!$D$54+FVE!$F$54),SUM($D$3:D14)&lt;=(FVE!$D$54+FVE!$F$54)),Tabulka32[[#This Row],[KAPACITA AKUMULACE
(kWh)]]*(-629.7*LN(Tabulka32[[#This Row],[KAPACITA AKUMULACE
(kWh)]])+25100),IF(AND($D$53&gt;=0.2*(FVE!$D$54+FVE!$F$54),SUM($D$3:D13)&lt;(FVE!$D$54+FVE!$F$54),SUM($D$3:D14)&gt;(FVE!$D$54+FVE!$F$54)),((FVE!$D$54+FVE!$F$54)-SUM($D$3:D13))*(-629.7*LN((FVE!$D$54+FVE!$F$54)-SUM($D$3:D13))+25100),IF(AND($D$53&gt;=0.2*(FVE!$D$54+FVE!$F$54),SUM($D$3:D13)&gt;(FVE!$D$54+FVE!$F$54)),0))))</f>
        <v>0</v>
      </c>
      <c r="I14" s="74"/>
    </row>
    <row r="15" spans="1:9" ht="16.5" thickTop="1" thickBot="1" x14ac:dyDescent="0.3">
      <c r="A15" s="159"/>
      <c r="B15" s="91"/>
      <c r="C15" s="75"/>
      <c r="D15" s="95"/>
      <c r="E15" s="76"/>
      <c r="F15" s="77" t="str">
        <f>IF(SUM($D$3:D15)&lt;0.2*(FVE!$D$54+FVE!$F$54),SUM($D$3:D15)-0.2*(FVE!$D$54+FVE!$F$54),IF(AND(SUM($D$3:D15)&gt;=0.2*(FVE!$D$54+FVE!$F$54),SUM($D$3:D15)&lt;(FVE!$D$54+FVE!$F$54)),(FVE!$D$54+FVE!$F$54)-SUM($D$3:D15),IF(AND(SUM($D$3:D15)&gt;=0.2*(FVE!$D$54+FVE!$F$54),SUM($D$3:D15)&gt;=(FVE!$D$54+FVE!$F$54),SUM($D$3:D14)&lt;(FVE!$D$54+FVE!$F$54)),"MAX. DOTACE BYLA DOSAŽENA (100% VÝKONU FVE) - DALŠÍ VÝDAJE JSOU NEZPŮSOBILÉ",IF(SUM($D$3:D14)&gt;=(FVE!$D$54+FVE!$F$54),""))))</f>
        <v/>
      </c>
      <c r="G15" s="162"/>
      <c r="H15" s="24">
        <f>IF(OR($D$53&lt;0.2*(FVE!$D$54+FVE!$F$54),Tabulka32[[#This Row],[KAPACITA AKUMULACE
(kWh)]]=0),0,IF(AND($D$53&gt;=0.2*(FVE!$D$54+FVE!$F$54),SUM($D$3:D15)&lt;=(FVE!$D$54+FVE!$F$54)),Tabulka32[[#This Row],[KAPACITA AKUMULACE
(kWh)]]*(-629.7*LN(Tabulka32[[#This Row],[KAPACITA AKUMULACE
(kWh)]])+25100),IF(AND($D$53&gt;=0.2*(FVE!$D$54+FVE!$F$54),SUM($D$3:D14)&lt;(FVE!$D$54+FVE!$F$54),SUM($D$3:D15)&gt;(FVE!$D$54+FVE!$F$54)),((FVE!$D$54+FVE!$F$54)-SUM($D$3:D14))*(-629.7*LN((FVE!$D$54+FVE!$F$54)-SUM($D$3:D14))+25100),IF(AND($D$53&gt;=0.2*(FVE!$D$54+FVE!$F$54),SUM($D$3:D14)&gt;(FVE!$D$54+FVE!$F$54)),0))))</f>
        <v>0</v>
      </c>
      <c r="I15" s="74"/>
    </row>
    <row r="16" spans="1:9" ht="16.5" thickTop="1" thickBot="1" x14ac:dyDescent="0.3">
      <c r="A16" s="159"/>
      <c r="B16" s="91"/>
      <c r="C16" s="75"/>
      <c r="D16" s="95"/>
      <c r="E16" s="76"/>
      <c r="F16" s="77" t="str">
        <f>IF(SUM($D$3:D16)&lt;0.2*(FVE!$D$54+FVE!$F$54),SUM($D$3:D16)-0.2*(FVE!$D$54+FVE!$F$54),IF(AND(SUM($D$3:D16)&gt;=0.2*(FVE!$D$54+FVE!$F$54),SUM($D$3:D16)&lt;(FVE!$D$54+FVE!$F$54)),(FVE!$D$54+FVE!$F$54)-SUM($D$3:D16),IF(AND(SUM($D$3:D16)&gt;=0.2*(FVE!$D$54+FVE!$F$54),SUM($D$3:D16)&gt;=(FVE!$D$54+FVE!$F$54),SUM($D$3:D15)&lt;(FVE!$D$54+FVE!$F$54)),"MAX. DOTACE BYLA DOSAŽENA (100% VÝKONU FVE) - DALŠÍ VÝDAJE JSOU NEZPŮSOBILÉ",IF(SUM($D$3:D15)&gt;=(FVE!$D$54+FVE!$F$54),""))))</f>
        <v/>
      </c>
      <c r="G16" s="162"/>
      <c r="H16" s="24">
        <f>IF(OR($D$53&lt;0.2*(FVE!$D$54+FVE!$F$54),Tabulka32[[#This Row],[KAPACITA AKUMULACE
(kWh)]]=0),0,IF(AND($D$53&gt;=0.2*(FVE!$D$54+FVE!$F$54),SUM($D$3:D16)&lt;=(FVE!$D$54+FVE!$F$54)),Tabulka32[[#This Row],[KAPACITA AKUMULACE
(kWh)]]*(-629.7*LN(Tabulka32[[#This Row],[KAPACITA AKUMULACE
(kWh)]])+25100),IF(AND($D$53&gt;=0.2*(FVE!$D$54+FVE!$F$54),SUM($D$3:D15)&lt;(FVE!$D$54+FVE!$F$54),SUM($D$3:D16)&gt;(FVE!$D$54+FVE!$F$54)),((FVE!$D$54+FVE!$F$54)-SUM($D$3:D15))*(-629.7*LN((FVE!$D$54+FVE!$F$54)-SUM($D$3:D15))+25100),IF(AND($D$53&gt;=0.2*(FVE!$D$54+FVE!$F$54),SUM($D$3:D15)&gt;(FVE!$D$54+FVE!$F$54)),0))))</f>
        <v>0</v>
      </c>
      <c r="I16" s="74"/>
    </row>
    <row r="17" spans="1:9" ht="16.5" thickTop="1" thickBot="1" x14ac:dyDescent="0.3">
      <c r="A17" s="159"/>
      <c r="B17" s="91"/>
      <c r="C17" s="75"/>
      <c r="D17" s="94"/>
      <c r="E17" s="76"/>
      <c r="F17" s="77" t="str">
        <f>IF(SUM($D$3:D17)&lt;0.2*(FVE!$D$54+FVE!$F$54),SUM($D$3:D17)-0.2*(FVE!$D$54+FVE!$F$54),IF(AND(SUM($D$3:D17)&gt;=0.2*(FVE!$D$54+FVE!$F$54),SUM($D$3:D17)&lt;(FVE!$D$54+FVE!$F$54)),(FVE!$D$54+FVE!$F$54)-SUM($D$3:D17),IF(AND(SUM($D$3:D17)&gt;=0.2*(FVE!$D$54+FVE!$F$54),SUM($D$3:D17)&gt;=(FVE!$D$54+FVE!$F$54),SUM($D$3:D16)&lt;(FVE!$D$54+FVE!$F$54)),"MAX. DOTACE BYLA DOSAŽENA (100% VÝKONU FVE) - DALŠÍ VÝDAJE JSOU NEZPŮSOBILÉ",IF(SUM($D$3:D16)&gt;=(FVE!$D$54+FVE!$F$54),""))))</f>
        <v/>
      </c>
      <c r="G17" s="162"/>
      <c r="H17" s="24">
        <f>IF(OR($D$53&lt;0.2*(FVE!$D$54+FVE!$F$54),Tabulka32[[#This Row],[KAPACITA AKUMULACE
(kWh)]]=0),0,IF(AND($D$53&gt;=0.2*(FVE!$D$54+FVE!$F$54),SUM($D$3:D17)&lt;=(FVE!$D$54+FVE!$F$54)),Tabulka32[[#This Row],[KAPACITA AKUMULACE
(kWh)]]*(-629.7*LN(Tabulka32[[#This Row],[KAPACITA AKUMULACE
(kWh)]])+25100),IF(AND($D$53&gt;=0.2*(FVE!$D$54+FVE!$F$54),SUM($D$3:D16)&lt;(FVE!$D$54+FVE!$F$54),SUM($D$3:D17)&gt;(FVE!$D$54+FVE!$F$54)),((FVE!$D$54+FVE!$F$54)-SUM($D$3:D16))*(-629.7*LN((FVE!$D$54+FVE!$F$54)-SUM($D$3:D16))+25100),IF(AND($D$53&gt;=0.2*(FVE!$D$54+FVE!$F$54),SUM($D$3:D16)&gt;(FVE!$D$54+FVE!$F$54)),0))))</f>
        <v>0</v>
      </c>
      <c r="I17" s="74"/>
    </row>
    <row r="18" spans="1:9" ht="16.5" thickTop="1" thickBot="1" x14ac:dyDescent="0.3">
      <c r="A18" s="159"/>
      <c r="B18" s="91"/>
      <c r="C18" s="75"/>
      <c r="D18" s="95"/>
      <c r="E18" s="76"/>
      <c r="F18" s="77" t="str">
        <f>IF(SUM($D$3:D18)&lt;0.2*(FVE!$D$54+FVE!$F$54),SUM($D$3:D18)-0.2*(FVE!$D$54+FVE!$F$54),IF(AND(SUM($D$3:D18)&gt;=0.2*(FVE!$D$54+FVE!$F$54),SUM($D$3:D18)&lt;(FVE!$D$54+FVE!$F$54)),(FVE!$D$54+FVE!$F$54)-SUM($D$3:D18),IF(AND(SUM($D$3:D18)&gt;=0.2*(FVE!$D$54+FVE!$F$54),SUM($D$3:D18)&gt;=(FVE!$D$54+FVE!$F$54),SUM($D$3:D17)&lt;(FVE!$D$54+FVE!$F$54)),"MAX. DOTACE BYLA DOSAŽENA (100% VÝKONU FVE) - DALŠÍ VÝDAJE JSOU NEZPŮSOBILÉ",IF(SUM($D$3:D17)&gt;=(FVE!$D$54+FVE!$F$54),""))))</f>
        <v/>
      </c>
      <c r="G18" s="162"/>
      <c r="H18" s="24">
        <f>IF(OR($D$53&lt;0.2*(FVE!$D$54+FVE!$F$54),Tabulka32[[#This Row],[KAPACITA AKUMULACE
(kWh)]]=0),0,IF(AND($D$53&gt;=0.2*(FVE!$D$54+FVE!$F$54),SUM($D$3:D18)&lt;=(FVE!$D$54+FVE!$F$54)),Tabulka32[[#This Row],[KAPACITA AKUMULACE
(kWh)]]*(-629.7*LN(Tabulka32[[#This Row],[KAPACITA AKUMULACE
(kWh)]])+25100),IF(AND($D$53&gt;=0.2*(FVE!$D$54+FVE!$F$54),SUM($D$3:D17)&lt;(FVE!$D$54+FVE!$F$54),SUM($D$3:D18)&gt;(FVE!$D$54+FVE!$F$54)),((FVE!$D$54+FVE!$F$54)-SUM($D$3:D17))*(-629.7*LN((FVE!$D$54+FVE!$F$54)-SUM($D$3:D17))+25100),IF(AND($D$53&gt;=0.2*(FVE!$D$54+FVE!$F$54),SUM($D$3:D17)&gt;(FVE!$D$54+FVE!$F$54)),0))))</f>
        <v>0</v>
      </c>
      <c r="I18" s="74"/>
    </row>
    <row r="19" spans="1:9" ht="16.5" thickTop="1" thickBot="1" x14ac:dyDescent="0.3">
      <c r="A19" s="159"/>
      <c r="B19" s="91"/>
      <c r="C19" s="75"/>
      <c r="D19" s="95"/>
      <c r="E19" s="76"/>
      <c r="F19" s="77" t="str">
        <f>IF(SUM($D$3:D19)&lt;0.2*(FVE!$D$54+FVE!$F$54),SUM($D$3:D19)-0.2*(FVE!$D$54+FVE!$F$54),IF(AND(SUM($D$3:D19)&gt;=0.2*(FVE!$D$54+FVE!$F$54),SUM($D$3:D19)&lt;(FVE!$D$54+FVE!$F$54)),(FVE!$D$54+FVE!$F$54)-SUM($D$3:D19),IF(AND(SUM($D$3:D19)&gt;=0.2*(FVE!$D$54+FVE!$F$54),SUM($D$3:D19)&gt;=(FVE!$D$54+FVE!$F$54),SUM($D$3:D18)&lt;(FVE!$D$54+FVE!$F$54)),"MAX. DOTACE BYLA DOSAŽENA (100% VÝKONU FVE) - DALŠÍ VÝDAJE JSOU NEZPŮSOBILÉ",IF(SUM($D$3:D18)&gt;=(FVE!$D$54+FVE!$F$54),""))))</f>
        <v/>
      </c>
      <c r="G19" s="162"/>
      <c r="H19" s="24">
        <f>IF(OR($D$53&lt;0.2*(FVE!$D$54+FVE!$F$54),Tabulka32[[#This Row],[KAPACITA AKUMULACE
(kWh)]]=0),0,IF(AND($D$53&gt;=0.2*(FVE!$D$54+FVE!$F$54),SUM($D$3:D19)&lt;=(FVE!$D$54+FVE!$F$54)),Tabulka32[[#This Row],[KAPACITA AKUMULACE
(kWh)]]*(-629.7*LN(Tabulka32[[#This Row],[KAPACITA AKUMULACE
(kWh)]])+25100),IF(AND($D$53&gt;=0.2*(FVE!$D$54+FVE!$F$54),SUM($D$3:D18)&lt;(FVE!$D$54+FVE!$F$54),SUM($D$3:D19)&gt;(FVE!$D$54+FVE!$F$54)),((FVE!$D$54+FVE!$F$54)-SUM($D$3:D18))*(-629.7*LN((FVE!$D$54+FVE!$F$54)-SUM($D$3:D18))+25100),IF(AND($D$53&gt;=0.2*(FVE!$D$54+FVE!$F$54),SUM($D$3:D18)&gt;(FVE!$D$54+FVE!$F$54)),0))))</f>
        <v>0</v>
      </c>
      <c r="I19" s="74"/>
    </row>
    <row r="20" spans="1:9" ht="16.5" thickTop="1" thickBot="1" x14ac:dyDescent="0.3">
      <c r="A20" s="159"/>
      <c r="B20" s="91"/>
      <c r="C20" s="75"/>
      <c r="D20" s="95"/>
      <c r="E20" s="76"/>
      <c r="F20" s="77" t="str">
        <f>IF(SUM($D$3:D20)&lt;0.2*(FVE!$D$54+FVE!$F$54),SUM($D$3:D20)-0.2*(FVE!$D$54+FVE!$F$54),IF(AND(SUM($D$3:D20)&gt;=0.2*(FVE!$D$54+FVE!$F$54),SUM($D$3:D20)&lt;(FVE!$D$54+FVE!$F$54)),(FVE!$D$54+FVE!$F$54)-SUM($D$3:D20),IF(AND(SUM($D$3:D20)&gt;=0.2*(FVE!$D$54+FVE!$F$54),SUM($D$3:D20)&gt;=(FVE!$D$54+FVE!$F$54),SUM($D$3:D19)&lt;(FVE!$D$54+FVE!$F$54)),"MAX. DOTACE BYLA DOSAŽENA (100% VÝKONU FVE) - DALŠÍ VÝDAJE JSOU NEZPŮSOBILÉ",IF(SUM($D$3:D19)&gt;=(FVE!$D$54+FVE!$F$54),""))))</f>
        <v/>
      </c>
      <c r="G20" s="162"/>
      <c r="H20" s="24">
        <f>IF(OR($D$53&lt;0.2*(FVE!$D$54+FVE!$F$54),Tabulka32[[#This Row],[KAPACITA AKUMULACE
(kWh)]]=0),0,IF(AND($D$53&gt;=0.2*(FVE!$D$54+FVE!$F$54),SUM($D$3:D20)&lt;=(FVE!$D$54+FVE!$F$54)),Tabulka32[[#This Row],[KAPACITA AKUMULACE
(kWh)]]*(-629.7*LN(Tabulka32[[#This Row],[KAPACITA AKUMULACE
(kWh)]])+25100),IF(AND($D$53&gt;=0.2*(FVE!$D$54+FVE!$F$54),SUM($D$3:D19)&lt;(FVE!$D$54+FVE!$F$54),SUM($D$3:D20)&gt;(FVE!$D$54+FVE!$F$54)),((FVE!$D$54+FVE!$F$54)-SUM($D$3:D19))*(-629.7*LN((FVE!$D$54+FVE!$F$54)-SUM($D$3:D19))+25100),IF(AND($D$53&gt;=0.2*(FVE!$D$54+FVE!$F$54),SUM($D$3:D19)&gt;(FVE!$D$54+FVE!$F$54)),0))))</f>
        <v>0</v>
      </c>
      <c r="I20" s="74"/>
    </row>
    <row r="21" spans="1:9" ht="16.5" thickTop="1" thickBot="1" x14ac:dyDescent="0.3">
      <c r="A21" s="159"/>
      <c r="B21" s="92"/>
      <c r="C21" s="75"/>
      <c r="D21" s="95"/>
      <c r="E21" s="76"/>
      <c r="F21" s="77" t="str">
        <f>IF(SUM($D$3:D21)&lt;0.2*(FVE!$D$54+FVE!$F$54),SUM($D$3:D21)-0.2*(FVE!$D$54+FVE!$F$54),IF(AND(SUM($D$3:D21)&gt;=0.2*(FVE!$D$54+FVE!$F$54),SUM($D$3:D21)&lt;(FVE!$D$54+FVE!$F$54)),(FVE!$D$54+FVE!$F$54)-SUM($D$3:D21),IF(AND(SUM($D$3:D21)&gt;=0.2*(FVE!$D$54+FVE!$F$54),SUM($D$3:D21)&gt;=(FVE!$D$54+FVE!$F$54),SUM($D$3:D20)&lt;(FVE!$D$54+FVE!$F$54)),"MAX. DOTACE BYLA DOSAŽENA (100% VÝKONU FVE) - DALŠÍ VÝDAJE JSOU NEZPŮSOBILÉ",IF(SUM($D$3:D20)&gt;=(FVE!$D$54+FVE!$F$54),""))))</f>
        <v/>
      </c>
      <c r="G21" s="162"/>
      <c r="H21" s="24">
        <f>IF(OR($D$53&lt;0.2*(FVE!$D$54+FVE!$F$54),Tabulka32[[#This Row],[KAPACITA AKUMULACE
(kWh)]]=0),0,IF(AND($D$53&gt;=0.2*(FVE!$D$54+FVE!$F$54),SUM($D$3:D21)&lt;=(FVE!$D$54+FVE!$F$54)),Tabulka32[[#This Row],[KAPACITA AKUMULACE
(kWh)]]*(-629.7*LN(Tabulka32[[#This Row],[KAPACITA AKUMULACE
(kWh)]])+25100),IF(AND($D$53&gt;=0.2*(FVE!$D$54+FVE!$F$54),SUM($D$3:D20)&lt;(FVE!$D$54+FVE!$F$54),SUM($D$3:D21)&gt;(FVE!$D$54+FVE!$F$54)),((FVE!$D$54+FVE!$F$54)-SUM($D$3:D20))*(-629.7*LN((FVE!$D$54+FVE!$F$54)-SUM($D$3:D20))+25100),IF(AND($D$53&gt;=0.2*(FVE!$D$54+FVE!$F$54),SUM($D$3:D20)&gt;(FVE!$D$54+FVE!$F$54)),0))))</f>
        <v>0</v>
      </c>
      <c r="I21" s="74"/>
    </row>
    <row r="22" spans="1:9" ht="16.5" thickTop="1" thickBot="1" x14ac:dyDescent="0.3">
      <c r="A22" s="159"/>
      <c r="B22" s="91"/>
      <c r="C22" s="75"/>
      <c r="D22" s="95"/>
      <c r="E22" s="76"/>
      <c r="F22" s="77" t="str">
        <f>IF(SUM($D$3:D22)&lt;0.2*(FVE!$D$54+FVE!$F$54),SUM($D$3:D22)-0.2*(FVE!$D$54+FVE!$F$54),IF(AND(SUM($D$3:D22)&gt;=0.2*(FVE!$D$54+FVE!$F$54),SUM($D$3:D22)&lt;(FVE!$D$54+FVE!$F$54)),(FVE!$D$54+FVE!$F$54)-SUM($D$3:D22),IF(AND(SUM($D$3:D22)&gt;=0.2*(FVE!$D$54+FVE!$F$54),SUM($D$3:D22)&gt;=(FVE!$D$54+FVE!$F$54),SUM($D$3:D21)&lt;(FVE!$D$54+FVE!$F$54)),"MAX. DOTACE BYLA DOSAŽENA (100% VÝKONU FVE) - DALŠÍ VÝDAJE JSOU NEZPŮSOBILÉ",IF(SUM($D$3:D21)&gt;=(FVE!$D$54+FVE!$F$54),""))))</f>
        <v/>
      </c>
      <c r="G22" s="162"/>
      <c r="H22" s="24">
        <f>IF(OR($D$53&lt;0.2*(FVE!$D$54+FVE!$F$54),Tabulka32[[#This Row],[KAPACITA AKUMULACE
(kWh)]]=0),0,IF(AND($D$53&gt;=0.2*(FVE!$D$54+FVE!$F$54),SUM($D$3:D22)&lt;=(FVE!$D$54+FVE!$F$54)),Tabulka32[[#This Row],[KAPACITA AKUMULACE
(kWh)]]*(-629.7*LN(Tabulka32[[#This Row],[KAPACITA AKUMULACE
(kWh)]])+25100),IF(AND($D$53&gt;=0.2*(FVE!$D$54+FVE!$F$54),SUM($D$3:D21)&lt;(FVE!$D$54+FVE!$F$54),SUM($D$3:D22)&gt;(FVE!$D$54+FVE!$F$54)),((FVE!$D$54+FVE!$F$54)-SUM($D$3:D21))*(-629.7*LN((FVE!$D$54+FVE!$F$54)-SUM($D$3:D21))+25100),IF(AND($D$53&gt;=0.2*(FVE!$D$54+FVE!$F$54),SUM($D$3:D21)&gt;(FVE!$D$54+FVE!$F$54)),0))))</f>
        <v>0</v>
      </c>
      <c r="I22" s="74"/>
    </row>
    <row r="23" spans="1:9" ht="16.5" thickTop="1" thickBot="1" x14ac:dyDescent="0.3">
      <c r="A23" s="159"/>
      <c r="B23" s="91"/>
      <c r="C23" s="75"/>
      <c r="D23" s="95"/>
      <c r="E23" s="76"/>
      <c r="F23" s="73" t="str">
        <f>IF(SUM($D$3:D23)&lt;0.2*(FVE!$D$54+FVE!$F$54),SUM($D$3:D23)-0.2*(FVE!$D$54+FVE!$F$54),IF(AND(SUM($D$3:D23)&gt;=0.2*(FVE!$D$54+FVE!$F$54),SUM($D$3:D23)&lt;(FVE!$D$54+FVE!$F$54)),(FVE!$D$54+FVE!$F$54)-SUM($D$3:D23),IF(AND(SUM($D$3:D23)&gt;=0.2*(FVE!$D$54+FVE!$F$54),SUM($D$3:D23)&gt;=(FVE!$D$54+FVE!$F$54),SUM($D$3:D22)&lt;(FVE!$D$54+FVE!$F$54)),"MAX. DOTACE BYLA DOSAŽENA (100% VÝKONU FVE) - DALŠÍ VÝDAJE JSOU NEZPŮSOBILÉ",IF(SUM($D$3:D22)&gt;=(FVE!$D$54+FVE!$F$54),""))))</f>
        <v/>
      </c>
      <c r="G23" s="162"/>
      <c r="H23" s="24">
        <f>IF(OR($D$53&lt;0.2*(FVE!$D$54+FVE!$F$54),Tabulka32[[#This Row],[KAPACITA AKUMULACE
(kWh)]]=0),0,IF(AND($D$53&gt;=0.2*(FVE!$D$54+FVE!$F$54),SUM($D$3:D23)&lt;=(FVE!$D$54+FVE!$F$54)),Tabulka32[[#This Row],[KAPACITA AKUMULACE
(kWh)]]*(-629.7*LN(Tabulka32[[#This Row],[KAPACITA AKUMULACE
(kWh)]])+25100),IF(AND($D$53&gt;=0.2*(FVE!$D$54+FVE!$F$54),SUM($D$3:D22)&lt;(FVE!$D$54+FVE!$F$54),SUM($D$3:D23)&gt;(FVE!$D$54+FVE!$F$54)),((FVE!$D$54+FVE!$F$54)-SUM($D$3:D22))*(-629.7*LN((FVE!$D$54+FVE!$F$54)-SUM($D$3:D22))+25100),IF(AND($D$53&gt;=0.2*(FVE!$D$54+FVE!$F$54),SUM($D$3:D22)&gt;(FVE!$D$54+FVE!$F$54)),0))))</f>
        <v>0</v>
      </c>
      <c r="I23" s="74"/>
    </row>
    <row r="24" spans="1:9" ht="16.5" thickTop="1" thickBot="1" x14ac:dyDescent="0.3">
      <c r="A24" s="159"/>
      <c r="B24" s="91"/>
      <c r="C24" s="75"/>
      <c r="D24" s="94"/>
      <c r="E24" s="76"/>
      <c r="F24" s="77" t="str">
        <f>IF(SUM($D$3:D24)&lt;0.2*(FVE!$D$54+FVE!$F$54),SUM($D$3:D24)-0.2*(FVE!$D$54+FVE!$F$54),IF(AND(SUM($D$3:D24)&gt;=0.2*(FVE!$D$54+FVE!$F$54),SUM($D$3:D24)&lt;(FVE!$D$54+FVE!$F$54)),(FVE!$D$54+FVE!$F$54)-SUM($D$3:D24),IF(AND(SUM($D$3:D24)&gt;=0.2*(FVE!$D$54+FVE!$F$54),SUM($D$3:D24)&gt;=(FVE!$D$54+FVE!$F$54),SUM($D$3:D23)&lt;(FVE!$D$54+FVE!$F$54)),"MAX. DOTACE BYLA DOSAŽENA (100% VÝKONU FVE) - DALŠÍ VÝDAJE JSOU NEZPŮSOBILÉ",IF(SUM($D$3:D23)&gt;=(FVE!$D$54+FVE!$F$54),""))))</f>
        <v/>
      </c>
      <c r="G24" s="162"/>
      <c r="H24" s="24">
        <f>IF(OR($D$53&lt;0.2*(FVE!$D$54+FVE!$F$54),Tabulka32[[#This Row],[KAPACITA AKUMULACE
(kWh)]]=0),0,IF(AND($D$53&gt;=0.2*(FVE!$D$54+FVE!$F$54),SUM($D$3:D24)&lt;=(FVE!$D$54+FVE!$F$54)),Tabulka32[[#This Row],[KAPACITA AKUMULACE
(kWh)]]*(-629.7*LN(Tabulka32[[#This Row],[KAPACITA AKUMULACE
(kWh)]])+25100),IF(AND($D$53&gt;=0.2*(FVE!$D$54+FVE!$F$54),SUM($D$3:D23)&lt;(FVE!$D$54+FVE!$F$54),SUM($D$3:D24)&gt;(FVE!$D$54+FVE!$F$54)),((FVE!$D$54+FVE!$F$54)-SUM($D$3:D23))*(-629.7*LN((FVE!$D$54+FVE!$F$54)-SUM($D$3:D23))+25100),IF(AND($D$53&gt;=0.2*(FVE!$D$54+FVE!$F$54),SUM($D$3:D23)&gt;(FVE!$D$54+FVE!$F$54)),0))))</f>
        <v>0</v>
      </c>
      <c r="I24" s="74"/>
    </row>
    <row r="25" spans="1:9" ht="16.5" thickTop="1" thickBot="1" x14ac:dyDescent="0.3">
      <c r="A25" s="159"/>
      <c r="B25" s="91"/>
      <c r="C25" s="75"/>
      <c r="D25" s="95"/>
      <c r="E25" s="76"/>
      <c r="F25" s="77" t="str">
        <f>IF(SUM($D$3:D25)&lt;0.2*(FVE!$D$54+FVE!$F$54),SUM($D$3:D25)-0.2*(FVE!$D$54+FVE!$F$54),IF(AND(SUM($D$3:D25)&gt;=0.2*(FVE!$D$54+FVE!$F$54),SUM($D$3:D25)&lt;(FVE!$D$54+FVE!$F$54)),(FVE!$D$54+FVE!$F$54)-SUM($D$3:D25),IF(AND(SUM($D$3:D25)&gt;=0.2*(FVE!$D$54+FVE!$F$54),SUM($D$3:D25)&gt;=(FVE!$D$54+FVE!$F$54),SUM($D$3:D24)&lt;(FVE!$D$54+FVE!$F$54)),"MAX. DOTACE BYLA DOSAŽENA (100% VÝKONU FVE) - DALŠÍ VÝDAJE JSOU NEZPŮSOBILÉ",IF(SUM($D$3:D24)&gt;=(FVE!$D$54+FVE!$F$54),""))))</f>
        <v/>
      </c>
      <c r="G25" s="162"/>
      <c r="H25" s="24">
        <f>IF(OR($D$53&lt;0.2*(FVE!$D$54+FVE!$F$54),Tabulka32[[#This Row],[KAPACITA AKUMULACE
(kWh)]]=0),0,IF(AND($D$53&gt;=0.2*(FVE!$D$54+FVE!$F$54),SUM($D$3:D25)&lt;=(FVE!$D$54+FVE!$F$54)),Tabulka32[[#This Row],[KAPACITA AKUMULACE
(kWh)]]*(-629.7*LN(Tabulka32[[#This Row],[KAPACITA AKUMULACE
(kWh)]])+25100),IF(AND($D$53&gt;=0.2*(FVE!$D$54+FVE!$F$54),SUM($D$3:D24)&lt;(FVE!$D$54+FVE!$F$54),SUM($D$3:D25)&gt;(FVE!$D$54+FVE!$F$54)),((FVE!$D$54+FVE!$F$54)-SUM($D$3:D24))*(-629.7*LN((FVE!$D$54+FVE!$F$54)-SUM($D$3:D24))+25100),IF(AND($D$53&gt;=0.2*(FVE!$D$54+FVE!$F$54),SUM($D$3:D24)&gt;(FVE!$D$54+FVE!$F$54)),0))))</f>
        <v>0</v>
      </c>
      <c r="I25" s="74"/>
    </row>
    <row r="26" spans="1:9" ht="16.5" thickTop="1" thickBot="1" x14ac:dyDescent="0.3">
      <c r="A26" s="159"/>
      <c r="B26" s="91"/>
      <c r="C26" s="75"/>
      <c r="D26" s="95"/>
      <c r="E26" s="76"/>
      <c r="F26" s="77" t="str">
        <f>IF(SUM($D$3:D26)&lt;0.2*(FVE!$D$54+FVE!$F$54),SUM($D$3:D26)-0.2*(FVE!$D$54+FVE!$F$54),IF(AND(SUM($D$3:D26)&gt;=0.2*(FVE!$D$54+FVE!$F$54),SUM($D$3:D26)&lt;(FVE!$D$54+FVE!$F$54)),(FVE!$D$54+FVE!$F$54)-SUM($D$3:D26),IF(AND(SUM($D$3:D26)&gt;=0.2*(FVE!$D$54+FVE!$F$54),SUM($D$3:D26)&gt;=(FVE!$D$54+FVE!$F$54),SUM($D$3:D25)&lt;(FVE!$D$54+FVE!$F$54)),"MAX. DOTACE BYLA DOSAŽENA (100% VÝKONU FVE) - DALŠÍ VÝDAJE JSOU NEZPŮSOBILÉ",IF(SUM($D$3:D25)&gt;=(FVE!$D$54+FVE!$F$54),""))))</f>
        <v/>
      </c>
      <c r="G26" s="162"/>
      <c r="H26" s="24">
        <f>IF(OR($D$53&lt;0.2*(FVE!$D$54+FVE!$F$54),Tabulka32[[#This Row],[KAPACITA AKUMULACE
(kWh)]]=0),0,IF(AND($D$53&gt;=0.2*(FVE!$D$54+FVE!$F$54),SUM($D$3:D26)&lt;=(FVE!$D$54+FVE!$F$54)),Tabulka32[[#This Row],[KAPACITA AKUMULACE
(kWh)]]*(-629.7*LN(Tabulka32[[#This Row],[KAPACITA AKUMULACE
(kWh)]])+25100),IF(AND($D$53&gt;=0.2*(FVE!$D$54+FVE!$F$54),SUM($D$3:D25)&lt;(FVE!$D$54+FVE!$F$54),SUM($D$3:D26)&gt;(FVE!$D$54+FVE!$F$54)),((FVE!$D$54+FVE!$F$54)-SUM($D$3:D25))*(-629.7*LN((FVE!$D$54+FVE!$F$54)-SUM($D$3:D25))+25100),IF(AND($D$53&gt;=0.2*(FVE!$D$54+FVE!$F$54),SUM($D$3:D25)&gt;(FVE!$D$54+FVE!$F$54)),0))))</f>
        <v>0</v>
      </c>
      <c r="I26" s="74"/>
    </row>
    <row r="27" spans="1:9" ht="16.5" thickTop="1" thickBot="1" x14ac:dyDescent="0.3">
      <c r="A27" s="159"/>
      <c r="B27" s="91"/>
      <c r="C27" s="75"/>
      <c r="D27" s="95"/>
      <c r="E27" s="76"/>
      <c r="F27" s="77" t="str">
        <f>IF(SUM($D$3:D27)&lt;0.2*(FVE!$D$54+FVE!$F$54),SUM($D$3:D27)-0.2*(FVE!$D$54+FVE!$F$54),IF(AND(SUM($D$3:D27)&gt;=0.2*(FVE!$D$54+FVE!$F$54),SUM($D$3:D27)&lt;(FVE!$D$54+FVE!$F$54)),(FVE!$D$54+FVE!$F$54)-SUM($D$3:D27),IF(AND(SUM($D$3:D27)&gt;=0.2*(FVE!$D$54+FVE!$F$54),SUM($D$3:D27)&gt;=(FVE!$D$54+FVE!$F$54),SUM($D$3:D26)&lt;(FVE!$D$54+FVE!$F$54)),"MAX. DOTACE BYLA DOSAŽENA (100% VÝKONU FVE) - DALŠÍ VÝDAJE JSOU NEZPŮSOBILÉ",IF(SUM($D$3:D26)&gt;=(FVE!$D$54+FVE!$F$54),""))))</f>
        <v/>
      </c>
      <c r="G27" s="162"/>
      <c r="H27" s="24">
        <f>IF(OR($D$53&lt;0.2*(FVE!$D$54+FVE!$F$54),Tabulka32[[#This Row],[KAPACITA AKUMULACE
(kWh)]]=0),0,IF(AND($D$53&gt;=0.2*(FVE!$D$54+FVE!$F$54),SUM($D$3:D27)&lt;=(FVE!$D$54+FVE!$F$54)),Tabulka32[[#This Row],[KAPACITA AKUMULACE
(kWh)]]*(-629.7*LN(Tabulka32[[#This Row],[KAPACITA AKUMULACE
(kWh)]])+25100),IF(AND($D$53&gt;=0.2*(FVE!$D$54+FVE!$F$54),SUM($D$3:D26)&lt;(FVE!$D$54+FVE!$F$54),SUM($D$3:D27)&gt;(FVE!$D$54+FVE!$F$54)),((FVE!$D$54+FVE!$F$54)-SUM($D$3:D26))*(-629.7*LN((FVE!$D$54+FVE!$F$54)-SUM($D$3:D26))+25100),IF(AND($D$53&gt;=0.2*(FVE!$D$54+FVE!$F$54),SUM($D$3:D26)&gt;(FVE!$D$54+FVE!$F$54)),0))))</f>
        <v>0</v>
      </c>
      <c r="I27" s="74"/>
    </row>
    <row r="28" spans="1:9" ht="16.5" thickTop="1" thickBot="1" x14ac:dyDescent="0.3">
      <c r="A28" s="159"/>
      <c r="B28" s="91"/>
      <c r="C28" s="75"/>
      <c r="D28" s="95"/>
      <c r="E28" s="76"/>
      <c r="F28" s="77" t="str">
        <f>IF(SUM($D$3:D28)&lt;0.2*(FVE!$D$54+FVE!$F$54),SUM($D$3:D28)-0.2*(FVE!$D$54+FVE!$F$54),IF(AND(SUM($D$3:D28)&gt;=0.2*(FVE!$D$54+FVE!$F$54),SUM($D$3:D28)&lt;(FVE!$D$54+FVE!$F$54)),(FVE!$D$54+FVE!$F$54)-SUM($D$3:D28),IF(AND(SUM($D$3:D28)&gt;=0.2*(FVE!$D$54+FVE!$F$54),SUM($D$3:D28)&gt;=(FVE!$D$54+FVE!$F$54),SUM($D$3:D27)&lt;(FVE!$D$54+FVE!$F$54)),"MAX. DOTACE BYLA DOSAŽENA (100% VÝKONU FVE) - DALŠÍ VÝDAJE JSOU NEZPŮSOBILÉ",IF(SUM($D$3:D27)&gt;=(FVE!$D$54+FVE!$F$54),""))))</f>
        <v/>
      </c>
      <c r="G28" s="162"/>
      <c r="H28" s="24">
        <f>IF(OR($D$53&lt;0.2*(FVE!$D$54+FVE!$F$54),Tabulka32[[#This Row],[KAPACITA AKUMULACE
(kWh)]]=0),0,IF(AND($D$53&gt;=0.2*(FVE!$D$54+FVE!$F$54),SUM($D$3:D28)&lt;=(FVE!$D$54+FVE!$F$54)),Tabulka32[[#This Row],[KAPACITA AKUMULACE
(kWh)]]*(-629.7*LN(Tabulka32[[#This Row],[KAPACITA AKUMULACE
(kWh)]])+25100),IF(AND($D$53&gt;=0.2*(FVE!$D$54+FVE!$F$54),SUM($D$3:D27)&lt;(FVE!$D$54+FVE!$F$54),SUM($D$3:D28)&gt;(FVE!$D$54+FVE!$F$54)),((FVE!$D$54+FVE!$F$54)-SUM($D$3:D27))*(-629.7*LN((FVE!$D$54+FVE!$F$54)-SUM($D$3:D27))+25100),IF(AND($D$53&gt;=0.2*(FVE!$D$54+FVE!$F$54),SUM($D$3:D27)&gt;(FVE!$D$54+FVE!$F$54)),0))))</f>
        <v>0</v>
      </c>
      <c r="I28" s="74"/>
    </row>
    <row r="29" spans="1:9" ht="16.5" thickTop="1" thickBot="1" x14ac:dyDescent="0.3">
      <c r="A29" s="159"/>
      <c r="B29" s="91"/>
      <c r="C29" s="75"/>
      <c r="D29" s="95"/>
      <c r="E29" s="76"/>
      <c r="F29" s="77" t="str">
        <f>IF(SUM($D$3:D29)&lt;0.2*(FVE!$D$54+FVE!$F$54),SUM($D$3:D29)-0.2*(FVE!$D$54+FVE!$F$54),IF(AND(SUM($D$3:D29)&gt;=0.2*(FVE!$D$54+FVE!$F$54),SUM($D$3:D29)&lt;(FVE!$D$54+FVE!$F$54)),(FVE!$D$54+FVE!$F$54)-SUM($D$3:D29),IF(AND(SUM($D$3:D29)&gt;=0.2*(FVE!$D$54+FVE!$F$54),SUM($D$3:D29)&gt;=(FVE!$D$54+FVE!$F$54),SUM($D$3:D28)&lt;(FVE!$D$54+FVE!$F$54)),"MAX. DOTACE BYLA DOSAŽENA (100% VÝKONU FVE) - DALŠÍ VÝDAJE JSOU NEZPŮSOBILÉ",IF(SUM($D$3:D28)&gt;=(FVE!$D$54+FVE!$F$54),""))))</f>
        <v/>
      </c>
      <c r="G29" s="162"/>
      <c r="H29" s="24">
        <f>IF(OR($D$53&lt;0.2*(FVE!$D$54+FVE!$F$54),Tabulka32[[#This Row],[KAPACITA AKUMULACE
(kWh)]]=0),0,IF(AND($D$53&gt;=0.2*(FVE!$D$54+FVE!$F$54),SUM($D$3:D29)&lt;=(FVE!$D$54+FVE!$F$54)),Tabulka32[[#This Row],[KAPACITA AKUMULACE
(kWh)]]*(-629.7*LN(Tabulka32[[#This Row],[KAPACITA AKUMULACE
(kWh)]])+25100),IF(AND($D$53&gt;=0.2*(FVE!$D$54+FVE!$F$54),SUM($D$3:D28)&lt;(FVE!$D$54+FVE!$F$54),SUM($D$3:D29)&gt;(FVE!$D$54+FVE!$F$54)),((FVE!$D$54+FVE!$F$54)-SUM($D$3:D28))*(-629.7*LN((FVE!$D$54+FVE!$F$54)-SUM($D$3:D28))+25100),IF(AND($D$53&gt;=0.2*(FVE!$D$54+FVE!$F$54),SUM($D$3:D28)&gt;(FVE!$D$54+FVE!$F$54)),0))))</f>
        <v>0</v>
      </c>
      <c r="I29" s="74"/>
    </row>
    <row r="30" spans="1:9" ht="16.5" thickTop="1" thickBot="1" x14ac:dyDescent="0.3">
      <c r="A30" s="159"/>
      <c r="B30" s="92"/>
      <c r="C30" s="75"/>
      <c r="D30" s="95"/>
      <c r="E30" s="76"/>
      <c r="F30" s="77" t="str">
        <f>IF(SUM($D$3:D30)&lt;0.2*(FVE!$D$54+FVE!$F$54),SUM($D$3:D30)-0.2*(FVE!$D$54+FVE!$F$54),IF(AND(SUM($D$3:D30)&gt;=0.2*(FVE!$D$54+FVE!$F$54),SUM($D$3:D30)&lt;(FVE!$D$54+FVE!$F$54)),(FVE!$D$54+FVE!$F$54)-SUM($D$3:D30),IF(AND(SUM($D$3:D30)&gt;=0.2*(FVE!$D$54+FVE!$F$54),SUM($D$3:D30)&gt;=(FVE!$D$54+FVE!$F$54),SUM($D$3:D29)&lt;(FVE!$D$54+FVE!$F$54)),"MAX. DOTACE BYLA DOSAŽENA (100% VÝKONU FVE) - DALŠÍ VÝDAJE JSOU NEZPŮSOBILÉ",IF(SUM($D$3:D29)&gt;=(FVE!$D$54+FVE!$F$54),""))))</f>
        <v/>
      </c>
      <c r="G30" s="162"/>
      <c r="H30" s="24">
        <f>IF(OR($D$53&lt;0.2*(FVE!$D$54+FVE!$F$54),Tabulka32[[#This Row],[KAPACITA AKUMULACE
(kWh)]]=0),0,IF(AND($D$53&gt;=0.2*(FVE!$D$54+FVE!$F$54),SUM($D$3:D30)&lt;=(FVE!$D$54+FVE!$F$54)),Tabulka32[[#This Row],[KAPACITA AKUMULACE
(kWh)]]*(-629.7*LN(Tabulka32[[#This Row],[KAPACITA AKUMULACE
(kWh)]])+25100),IF(AND($D$53&gt;=0.2*(FVE!$D$54+FVE!$F$54),SUM($D$3:D29)&lt;(FVE!$D$54+FVE!$F$54),SUM($D$3:D30)&gt;(FVE!$D$54+FVE!$F$54)),((FVE!$D$54+FVE!$F$54)-SUM($D$3:D29))*(-629.7*LN((FVE!$D$54+FVE!$F$54)-SUM($D$3:D29))+25100),IF(AND($D$53&gt;=0.2*(FVE!$D$54+FVE!$F$54),SUM($D$3:D29)&gt;(FVE!$D$54+FVE!$F$54)),0))))</f>
        <v>0</v>
      </c>
      <c r="I30" s="74"/>
    </row>
    <row r="31" spans="1:9" ht="16.5" thickTop="1" thickBot="1" x14ac:dyDescent="0.3">
      <c r="A31" s="159"/>
      <c r="B31" s="91"/>
      <c r="C31" s="75"/>
      <c r="D31" s="94"/>
      <c r="E31" s="76"/>
      <c r="F31" s="77" t="str">
        <f>IF(SUM($D$3:D31)&lt;0.2*(FVE!$D$54+FVE!$F$54),SUM($D$3:D31)-0.2*(FVE!$D$54+FVE!$F$54),IF(AND(SUM($D$3:D31)&gt;=0.2*(FVE!$D$54+FVE!$F$54),SUM($D$3:D31)&lt;(FVE!$D$54+FVE!$F$54)),(FVE!$D$54+FVE!$F$54)-SUM($D$3:D31),IF(AND(SUM($D$3:D31)&gt;=0.2*(FVE!$D$54+FVE!$F$54),SUM($D$3:D31)&gt;=(FVE!$D$54+FVE!$F$54),SUM($D$3:D30)&lt;(FVE!$D$54+FVE!$F$54)),"MAX. DOTACE BYLA DOSAŽENA (100% VÝKONU FVE) - DALŠÍ VÝDAJE JSOU NEZPŮSOBILÉ",IF(SUM($D$3:D30)&gt;=(FVE!$D$54+FVE!$F$54),""))))</f>
        <v/>
      </c>
      <c r="G31" s="162"/>
      <c r="H31" s="24">
        <f>IF(OR($D$53&lt;0.2*(FVE!$D$54+FVE!$F$54),Tabulka32[[#This Row],[KAPACITA AKUMULACE
(kWh)]]=0),0,IF(AND($D$53&gt;=0.2*(FVE!$D$54+FVE!$F$54),SUM($D$3:D31)&lt;=(FVE!$D$54+FVE!$F$54)),Tabulka32[[#This Row],[KAPACITA AKUMULACE
(kWh)]]*(-629.7*LN(Tabulka32[[#This Row],[KAPACITA AKUMULACE
(kWh)]])+25100),IF(AND($D$53&gt;=0.2*(FVE!$D$54+FVE!$F$54),SUM($D$3:D30)&lt;(FVE!$D$54+FVE!$F$54),SUM($D$3:D31)&gt;(FVE!$D$54+FVE!$F$54)),((FVE!$D$54+FVE!$F$54)-SUM($D$3:D30))*(-629.7*LN((FVE!$D$54+FVE!$F$54)-SUM($D$3:D30))+25100),IF(AND($D$53&gt;=0.2*(FVE!$D$54+FVE!$F$54),SUM($D$3:D30)&gt;(FVE!$D$54+FVE!$F$54)),0))))</f>
        <v>0</v>
      </c>
      <c r="I31" s="74"/>
    </row>
    <row r="32" spans="1:9" ht="16.5" thickTop="1" thickBot="1" x14ac:dyDescent="0.3">
      <c r="A32" s="159"/>
      <c r="B32" s="91"/>
      <c r="C32" s="75"/>
      <c r="D32" s="95"/>
      <c r="E32" s="76"/>
      <c r="F32" s="77" t="str">
        <f>IF(SUM($D$3:D32)&lt;0.2*(FVE!$D$54+FVE!$F$54),SUM($D$3:D32)-0.2*(FVE!$D$54+FVE!$F$54),IF(AND(SUM($D$3:D32)&gt;=0.2*(FVE!$D$54+FVE!$F$54),SUM($D$3:D32)&lt;(FVE!$D$54+FVE!$F$54)),(FVE!$D$54+FVE!$F$54)-SUM($D$3:D32),IF(AND(SUM($D$3:D32)&gt;=0.2*(FVE!$D$54+FVE!$F$54),SUM($D$3:D32)&gt;=(FVE!$D$54+FVE!$F$54),SUM($D$3:D31)&lt;(FVE!$D$54+FVE!$F$54)),"MAX. DOTACE BYLA DOSAŽENA (100% VÝKONU FVE) - DALŠÍ VÝDAJE JSOU NEZPŮSOBILÉ",IF(SUM($D$3:D31)&gt;=(FVE!$D$54+FVE!$F$54),""))))</f>
        <v/>
      </c>
      <c r="G32" s="162"/>
      <c r="H32" s="24">
        <f>IF(OR($D$53&lt;0.2*(FVE!$D$54+FVE!$F$54),Tabulka32[[#This Row],[KAPACITA AKUMULACE
(kWh)]]=0),0,IF(AND($D$53&gt;=0.2*(FVE!$D$54+FVE!$F$54),SUM($D$3:D32)&lt;=(FVE!$D$54+FVE!$F$54)),Tabulka32[[#This Row],[KAPACITA AKUMULACE
(kWh)]]*(-629.7*LN(Tabulka32[[#This Row],[KAPACITA AKUMULACE
(kWh)]])+25100),IF(AND($D$53&gt;=0.2*(FVE!$D$54+FVE!$F$54),SUM($D$3:D31)&lt;(FVE!$D$54+FVE!$F$54),SUM($D$3:D32)&gt;(FVE!$D$54+FVE!$F$54)),((FVE!$D$54+FVE!$F$54)-SUM($D$3:D31))*(-629.7*LN((FVE!$D$54+FVE!$F$54)-SUM($D$3:D31))+25100),IF(AND($D$53&gt;=0.2*(FVE!$D$54+FVE!$F$54),SUM($D$3:D31)&gt;(FVE!$D$54+FVE!$F$54)),0))))</f>
        <v>0</v>
      </c>
      <c r="I32" s="74"/>
    </row>
    <row r="33" spans="1:9" ht="16.5" thickTop="1" thickBot="1" x14ac:dyDescent="0.3">
      <c r="A33" s="159"/>
      <c r="B33" s="91"/>
      <c r="C33" s="75"/>
      <c r="D33" s="95"/>
      <c r="E33" s="76"/>
      <c r="F33" s="77" t="str">
        <f>IF(SUM($D$3:D33)&lt;0.2*(FVE!$D$54+FVE!$F$54),SUM($D$3:D33)-0.2*(FVE!$D$54+FVE!$F$54),IF(AND(SUM($D$3:D33)&gt;=0.2*(FVE!$D$54+FVE!$F$54),SUM($D$3:D33)&lt;(FVE!$D$54+FVE!$F$54)),(FVE!$D$54+FVE!$F$54)-SUM($D$3:D33),IF(AND(SUM($D$3:D33)&gt;=0.2*(FVE!$D$54+FVE!$F$54),SUM($D$3:D33)&gt;=(FVE!$D$54+FVE!$F$54),SUM($D$3:D32)&lt;(FVE!$D$54+FVE!$F$54)),"MAX. DOTACE BYLA DOSAŽENA (100% VÝKONU FVE) - DALŠÍ VÝDAJE JSOU NEZPŮSOBILÉ",IF(SUM($D$3:D32)&gt;=(FVE!$D$54+FVE!$F$54),""))))</f>
        <v/>
      </c>
      <c r="G33" s="162"/>
      <c r="H33" s="24">
        <f>IF(OR($D$53&lt;0.2*(FVE!$D$54+FVE!$F$54),Tabulka32[[#This Row],[KAPACITA AKUMULACE
(kWh)]]=0),0,IF(AND($D$53&gt;=0.2*(FVE!$D$54+FVE!$F$54),SUM($D$3:D33)&lt;=(FVE!$D$54+FVE!$F$54)),Tabulka32[[#This Row],[KAPACITA AKUMULACE
(kWh)]]*(-629.7*LN(Tabulka32[[#This Row],[KAPACITA AKUMULACE
(kWh)]])+25100),IF(AND($D$53&gt;=0.2*(FVE!$D$54+FVE!$F$54),SUM($D$3:D32)&lt;(FVE!$D$54+FVE!$F$54),SUM($D$3:D33)&gt;(FVE!$D$54+FVE!$F$54)),((FVE!$D$54+FVE!$F$54)-SUM($D$3:D32))*(-629.7*LN((FVE!$D$54+FVE!$F$54)-SUM($D$3:D32))+25100),IF(AND($D$53&gt;=0.2*(FVE!$D$54+FVE!$F$54),SUM($D$3:D32)&gt;(FVE!$D$54+FVE!$F$54)),0))))</f>
        <v>0</v>
      </c>
      <c r="I33" s="74"/>
    </row>
    <row r="34" spans="1:9" ht="16.5" thickTop="1" thickBot="1" x14ac:dyDescent="0.3">
      <c r="A34" s="159"/>
      <c r="B34" s="91"/>
      <c r="C34" s="75"/>
      <c r="D34" s="95"/>
      <c r="E34" s="76"/>
      <c r="F34" s="77" t="str">
        <f>IF(SUM($D$3:D34)&lt;0.2*(FVE!$D$54+FVE!$F$54),SUM($D$3:D34)-0.2*(FVE!$D$54+FVE!$F$54),IF(AND(SUM($D$3:D34)&gt;=0.2*(FVE!$D$54+FVE!$F$54),SUM($D$3:D34)&lt;(FVE!$D$54+FVE!$F$54)),(FVE!$D$54+FVE!$F$54)-SUM($D$3:D34),IF(AND(SUM($D$3:D34)&gt;=0.2*(FVE!$D$54+FVE!$F$54),SUM($D$3:D34)&gt;=(FVE!$D$54+FVE!$F$54),SUM($D$3:D33)&lt;(FVE!$D$54+FVE!$F$54)),"MAX. DOTACE BYLA DOSAŽENA (100% VÝKONU FVE) - DALŠÍ VÝDAJE JSOU NEZPŮSOBILÉ",IF(SUM($D$3:D33)&gt;=(FVE!$D$54+FVE!$F$54),""))))</f>
        <v/>
      </c>
      <c r="G34" s="162"/>
      <c r="H34" s="24">
        <f>IF(OR($D$53&lt;0.2*(FVE!$D$54+FVE!$F$54),Tabulka32[[#This Row],[KAPACITA AKUMULACE
(kWh)]]=0),0,IF(AND($D$53&gt;=0.2*(FVE!$D$54+FVE!$F$54),SUM($D$3:D34)&lt;=(FVE!$D$54+FVE!$F$54)),Tabulka32[[#This Row],[KAPACITA AKUMULACE
(kWh)]]*(-629.7*LN(Tabulka32[[#This Row],[KAPACITA AKUMULACE
(kWh)]])+25100),IF(AND($D$53&gt;=0.2*(FVE!$D$54+FVE!$F$54),SUM($D$3:D33)&lt;(FVE!$D$54+FVE!$F$54),SUM($D$3:D34)&gt;(FVE!$D$54+FVE!$F$54)),((FVE!$D$54+FVE!$F$54)-SUM($D$3:D33))*(-629.7*LN((FVE!$D$54+FVE!$F$54)-SUM($D$3:D33))+25100),IF(AND($D$53&gt;=0.2*(FVE!$D$54+FVE!$F$54),SUM($D$3:D33)&gt;(FVE!$D$54+FVE!$F$54)),0))))</f>
        <v>0</v>
      </c>
      <c r="I34" s="74"/>
    </row>
    <row r="35" spans="1:9" ht="16.5" thickTop="1" thickBot="1" x14ac:dyDescent="0.3">
      <c r="A35" s="159"/>
      <c r="B35" s="91"/>
      <c r="C35" s="75"/>
      <c r="D35" s="95"/>
      <c r="E35" s="76"/>
      <c r="F35" s="77" t="str">
        <f>IF(SUM($D$3:D35)&lt;0.2*(FVE!$D$54+FVE!$F$54),SUM($D$3:D35)-0.2*(FVE!$D$54+FVE!$F$54),IF(AND(SUM($D$3:D35)&gt;=0.2*(FVE!$D$54+FVE!$F$54),SUM($D$3:D35)&lt;(FVE!$D$54+FVE!$F$54)),(FVE!$D$54+FVE!$F$54)-SUM($D$3:D35),IF(AND(SUM($D$3:D35)&gt;=0.2*(FVE!$D$54+FVE!$F$54),SUM($D$3:D35)&gt;=(FVE!$D$54+FVE!$F$54),SUM($D$3:D34)&lt;(FVE!$D$54+FVE!$F$54)),"MAX. DOTACE BYLA DOSAŽENA (100% VÝKONU FVE) - DALŠÍ VÝDAJE JSOU NEZPŮSOBILÉ",IF(SUM($D$3:D34)&gt;=(FVE!$D$54+FVE!$F$54),""))))</f>
        <v/>
      </c>
      <c r="G35" s="162"/>
      <c r="H35" s="24">
        <f>IF(OR($D$53&lt;0.2*(FVE!$D$54+FVE!$F$54),Tabulka32[[#This Row],[KAPACITA AKUMULACE
(kWh)]]=0),0,IF(AND($D$53&gt;=0.2*(FVE!$D$54+FVE!$F$54),SUM($D$3:D35)&lt;=(FVE!$D$54+FVE!$F$54)),Tabulka32[[#This Row],[KAPACITA AKUMULACE
(kWh)]]*(-629.7*LN(Tabulka32[[#This Row],[KAPACITA AKUMULACE
(kWh)]])+25100),IF(AND($D$53&gt;=0.2*(FVE!$D$54+FVE!$F$54),SUM($D$3:D34)&lt;(FVE!$D$54+FVE!$F$54),SUM($D$3:D35)&gt;(FVE!$D$54+FVE!$F$54)),((FVE!$D$54+FVE!$F$54)-SUM($D$3:D34))*(-629.7*LN((FVE!$D$54+FVE!$F$54)-SUM($D$3:D34))+25100),IF(AND($D$53&gt;=0.2*(FVE!$D$54+FVE!$F$54),SUM($D$3:D34)&gt;(FVE!$D$54+FVE!$F$54)),0))))</f>
        <v>0</v>
      </c>
      <c r="I35" s="74"/>
    </row>
    <row r="36" spans="1:9" ht="16.5" thickTop="1" thickBot="1" x14ac:dyDescent="0.3">
      <c r="A36" s="159"/>
      <c r="B36" s="91"/>
      <c r="C36" s="75"/>
      <c r="D36" s="95"/>
      <c r="E36" s="76"/>
      <c r="F36" s="77" t="str">
        <f>IF(SUM($D$3:D36)&lt;0.2*(FVE!$D$54+FVE!$F$54),SUM($D$3:D36)-0.2*(FVE!$D$54+FVE!$F$54),IF(AND(SUM($D$3:D36)&gt;=0.2*(FVE!$D$54+FVE!$F$54),SUM($D$3:D36)&lt;(FVE!$D$54+FVE!$F$54)),(FVE!$D$54+FVE!$F$54)-SUM($D$3:D36),IF(AND(SUM($D$3:D36)&gt;=0.2*(FVE!$D$54+FVE!$F$54),SUM($D$3:D36)&gt;=(FVE!$D$54+FVE!$F$54),SUM($D$3:D35)&lt;(FVE!$D$54+FVE!$F$54)),"MAX. DOTACE BYLA DOSAŽENA (100% VÝKONU FVE) - DALŠÍ VÝDAJE JSOU NEZPŮSOBILÉ",IF(SUM($D$3:D35)&gt;=(FVE!$D$54+FVE!$F$54),""))))</f>
        <v/>
      </c>
      <c r="G36" s="162"/>
      <c r="H36" s="24">
        <f>IF(OR($D$53&lt;0.2*(FVE!$D$54+FVE!$F$54),Tabulka32[[#This Row],[KAPACITA AKUMULACE
(kWh)]]=0),0,IF(AND($D$53&gt;=0.2*(FVE!$D$54+FVE!$F$54),SUM($D$3:D36)&lt;=(FVE!$D$54+FVE!$F$54)),Tabulka32[[#This Row],[KAPACITA AKUMULACE
(kWh)]]*(-629.7*LN(Tabulka32[[#This Row],[KAPACITA AKUMULACE
(kWh)]])+25100),IF(AND($D$53&gt;=0.2*(FVE!$D$54+FVE!$F$54),SUM($D$3:D35)&lt;(FVE!$D$54+FVE!$F$54),SUM($D$3:D36)&gt;(FVE!$D$54+FVE!$F$54)),((FVE!$D$54+FVE!$F$54)-SUM($D$3:D35))*(-629.7*LN((FVE!$D$54+FVE!$F$54)-SUM($D$3:D35))+25100),IF(AND($D$53&gt;=0.2*(FVE!$D$54+FVE!$F$54),SUM($D$3:D35)&gt;(FVE!$D$54+FVE!$F$54)),0))))</f>
        <v>0</v>
      </c>
      <c r="I36" s="74"/>
    </row>
    <row r="37" spans="1:9" ht="16.5" thickTop="1" thickBot="1" x14ac:dyDescent="0.3">
      <c r="A37" s="159"/>
      <c r="B37" s="91"/>
      <c r="C37" s="75"/>
      <c r="D37" s="95"/>
      <c r="E37" s="76"/>
      <c r="F37" s="77" t="str">
        <f>IF(SUM($D$3:D37)&lt;0.2*(FVE!$D$54+FVE!$F$54),SUM($D$3:D37)-0.2*(FVE!$D$54+FVE!$F$54),IF(AND(SUM($D$3:D37)&gt;=0.2*(FVE!$D$54+FVE!$F$54),SUM($D$3:D37)&lt;(FVE!$D$54+FVE!$F$54)),(FVE!$D$54+FVE!$F$54)-SUM($D$3:D37),IF(AND(SUM($D$3:D37)&gt;=0.2*(FVE!$D$54+FVE!$F$54),SUM($D$3:D37)&gt;=(FVE!$D$54+FVE!$F$54),SUM($D$3:D36)&lt;(FVE!$D$54+FVE!$F$54)),"MAX. DOTACE BYLA DOSAŽENA (100% VÝKONU FVE) - DALŠÍ VÝDAJE JSOU NEZPŮSOBILÉ",IF(SUM($D$3:D36)&gt;=(FVE!$D$54+FVE!$F$54),""))))</f>
        <v/>
      </c>
      <c r="G37" s="162"/>
      <c r="H37" s="24">
        <f>IF(OR($D$53&lt;0.2*(FVE!$D$54+FVE!$F$54),Tabulka32[[#This Row],[KAPACITA AKUMULACE
(kWh)]]=0),0,IF(AND($D$53&gt;=0.2*(FVE!$D$54+FVE!$F$54),SUM($D$3:D37)&lt;=(FVE!$D$54+FVE!$F$54)),Tabulka32[[#This Row],[KAPACITA AKUMULACE
(kWh)]]*(-629.7*LN(Tabulka32[[#This Row],[KAPACITA AKUMULACE
(kWh)]])+25100),IF(AND($D$53&gt;=0.2*(FVE!$D$54+FVE!$F$54),SUM($D$3:D36)&lt;(FVE!$D$54+FVE!$F$54),SUM($D$3:D37)&gt;(FVE!$D$54+FVE!$F$54)),((FVE!$D$54+FVE!$F$54)-SUM($D$3:D36))*(-629.7*LN((FVE!$D$54+FVE!$F$54)-SUM($D$3:D36))+25100),IF(AND($D$53&gt;=0.2*(FVE!$D$54+FVE!$F$54),SUM($D$3:D36)&gt;(FVE!$D$54+FVE!$F$54)),0))))</f>
        <v>0</v>
      </c>
      <c r="I37" s="74"/>
    </row>
    <row r="38" spans="1:9" ht="16.5" thickTop="1" thickBot="1" x14ac:dyDescent="0.3">
      <c r="A38" s="159"/>
      <c r="B38" s="91"/>
      <c r="C38" s="75"/>
      <c r="D38" s="94"/>
      <c r="E38" s="76"/>
      <c r="F38" s="77" t="str">
        <f>IF(SUM($D$3:D38)&lt;0.2*(FVE!$D$54+FVE!$F$54),SUM($D$3:D38)-0.2*(FVE!$D$54+FVE!$F$54),IF(AND(SUM($D$3:D38)&gt;=0.2*(FVE!$D$54+FVE!$F$54),SUM($D$3:D38)&lt;(FVE!$D$54+FVE!$F$54)),(FVE!$D$54+FVE!$F$54)-SUM($D$3:D38),IF(AND(SUM($D$3:D38)&gt;=0.2*(FVE!$D$54+FVE!$F$54),SUM($D$3:D38)&gt;=(FVE!$D$54+FVE!$F$54),SUM($D$3:D37)&lt;(FVE!$D$54+FVE!$F$54)),"MAX. DOTACE BYLA DOSAŽENA (100% VÝKONU FVE) - DALŠÍ VÝDAJE JSOU NEZPŮSOBILÉ",IF(SUM($D$3:D37)&gt;=(FVE!$D$54+FVE!$F$54),""))))</f>
        <v/>
      </c>
      <c r="G38" s="162"/>
      <c r="H38" s="24">
        <f>IF(OR($D$53&lt;0.2*(FVE!$D$54+FVE!$F$54),Tabulka32[[#This Row],[KAPACITA AKUMULACE
(kWh)]]=0),0,IF(AND($D$53&gt;=0.2*(FVE!$D$54+FVE!$F$54),SUM($D$3:D38)&lt;=(FVE!$D$54+FVE!$F$54)),Tabulka32[[#This Row],[KAPACITA AKUMULACE
(kWh)]]*(-629.7*LN(Tabulka32[[#This Row],[KAPACITA AKUMULACE
(kWh)]])+25100),IF(AND($D$53&gt;=0.2*(FVE!$D$54+FVE!$F$54),SUM($D$3:D37)&lt;(FVE!$D$54+FVE!$F$54),SUM($D$3:D38)&gt;(FVE!$D$54+FVE!$F$54)),((FVE!$D$54+FVE!$F$54)-SUM($D$3:D37))*(-629.7*LN((FVE!$D$54+FVE!$F$54)-SUM($D$3:D37))+25100),IF(AND($D$53&gt;=0.2*(FVE!$D$54+FVE!$F$54),SUM($D$3:D37)&gt;(FVE!$D$54+FVE!$F$54)),0))))</f>
        <v>0</v>
      </c>
      <c r="I38" s="74"/>
    </row>
    <row r="39" spans="1:9" ht="16.5" thickTop="1" thickBot="1" x14ac:dyDescent="0.3">
      <c r="A39" s="159"/>
      <c r="B39" s="92"/>
      <c r="C39" s="75"/>
      <c r="D39" s="95"/>
      <c r="E39" s="76"/>
      <c r="F39" s="77" t="str">
        <f>IF(SUM($D$3:D39)&lt;0.2*(FVE!$D$54+FVE!$F$54),SUM($D$3:D39)-0.2*(FVE!$D$54+FVE!$F$54),IF(AND(SUM($D$3:D39)&gt;=0.2*(FVE!$D$54+FVE!$F$54),SUM($D$3:D39)&lt;(FVE!$D$54+FVE!$F$54)),(FVE!$D$54+FVE!$F$54)-SUM($D$3:D39),IF(AND(SUM($D$3:D39)&gt;=0.2*(FVE!$D$54+FVE!$F$54),SUM($D$3:D39)&gt;=(FVE!$D$54+FVE!$F$54),SUM($D$3:D38)&lt;(FVE!$D$54+FVE!$F$54)),"MAX. DOTACE BYLA DOSAŽENA (100% VÝKONU FVE) - DALŠÍ VÝDAJE JSOU NEZPŮSOBILÉ",IF(SUM($D$3:D38)&gt;=(FVE!$D$54+FVE!$F$54),""))))</f>
        <v/>
      </c>
      <c r="G39" s="162"/>
      <c r="H39" s="24">
        <f>IF(OR($D$53&lt;0.2*(FVE!$D$54+FVE!$F$54),Tabulka32[[#This Row],[KAPACITA AKUMULACE
(kWh)]]=0),0,IF(AND($D$53&gt;=0.2*(FVE!$D$54+FVE!$F$54),SUM($D$3:D39)&lt;=(FVE!$D$54+FVE!$F$54)),Tabulka32[[#This Row],[KAPACITA AKUMULACE
(kWh)]]*(-629.7*LN(Tabulka32[[#This Row],[KAPACITA AKUMULACE
(kWh)]])+25100),IF(AND($D$53&gt;=0.2*(FVE!$D$54+FVE!$F$54),SUM($D$3:D38)&lt;(FVE!$D$54+FVE!$F$54),SUM($D$3:D39)&gt;(FVE!$D$54+FVE!$F$54)),((FVE!$D$54+FVE!$F$54)-SUM($D$3:D38))*(-629.7*LN((FVE!$D$54+FVE!$F$54)-SUM($D$3:D38))+25100),IF(AND($D$53&gt;=0.2*(FVE!$D$54+FVE!$F$54),SUM($D$3:D38)&gt;(FVE!$D$54+FVE!$F$54)),0))))</f>
        <v>0</v>
      </c>
      <c r="I39" s="74"/>
    </row>
    <row r="40" spans="1:9" ht="16.5" thickTop="1" thickBot="1" x14ac:dyDescent="0.3">
      <c r="A40" s="159"/>
      <c r="B40" s="91"/>
      <c r="C40" s="75"/>
      <c r="D40" s="95"/>
      <c r="E40" s="76"/>
      <c r="F40" s="77" t="str">
        <f>IF(SUM($D$3:D40)&lt;0.2*(FVE!$D$54+FVE!$F$54),SUM($D$3:D40)-0.2*(FVE!$D$54+FVE!$F$54),IF(AND(SUM($D$3:D40)&gt;=0.2*(FVE!$D$54+FVE!$F$54),SUM($D$3:D40)&lt;(FVE!$D$54+FVE!$F$54)),(FVE!$D$54+FVE!$F$54)-SUM($D$3:D40),IF(AND(SUM($D$3:D40)&gt;=0.2*(FVE!$D$54+FVE!$F$54),SUM($D$3:D40)&gt;=(FVE!$D$54+FVE!$F$54),SUM($D$3:D39)&lt;(FVE!$D$54+FVE!$F$54)),"MAX. DOTACE BYLA DOSAŽENA (100% VÝKONU FVE) - DALŠÍ VÝDAJE JSOU NEZPŮSOBILÉ",IF(SUM($D$3:D39)&gt;=(FVE!$D$54+FVE!$F$54),""))))</f>
        <v/>
      </c>
      <c r="G40" s="162"/>
      <c r="H40" s="24">
        <f>IF(OR($D$53&lt;0.2*(FVE!$D$54+FVE!$F$54),Tabulka32[[#This Row],[KAPACITA AKUMULACE
(kWh)]]=0),0,IF(AND($D$53&gt;=0.2*(FVE!$D$54+FVE!$F$54),SUM($D$3:D40)&lt;=(FVE!$D$54+FVE!$F$54)),Tabulka32[[#This Row],[KAPACITA AKUMULACE
(kWh)]]*(-629.7*LN(Tabulka32[[#This Row],[KAPACITA AKUMULACE
(kWh)]])+25100),IF(AND($D$53&gt;=0.2*(FVE!$D$54+FVE!$F$54),SUM($D$3:D39)&lt;(FVE!$D$54+FVE!$F$54),SUM($D$3:D40)&gt;(FVE!$D$54+FVE!$F$54)),((FVE!$D$54+FVE!$F$54)-SUM($D$3:D39))*(-629.7*LN((FVE!$D$54+FVE!$F$54)-SUM($D$3:D39))+25100),IF(AND($D$53&gt;=0.2*(FVE!$D$54+FVE!$F$54),SUM($D$3:D39)&gt;(FVE!$D$54+FVE!$F$54)),0))))</f>
        <v>0</v>
      </c>
      <c r="I40" s="74"/>
    </row>
    <row r="41" spans="1:9" ht="16.5" thickTop="1" thickBot="1" x14ac:dyDescent="0.3">
      <c r="A41" s="159"/>
      <c r="B41" s="91"/>
      <c r="C41" s="75"/>
      <c r="D41" s="95"/>
      <c r="E41" s="76"/>
      <c r="F41" s="77" t="str">
        <f>IF(SUM($D$3:D41)&lt;0.2*(FVE!$D$54+FVE!$F$54),SUM($D$3:D41)-0.2*(FVE!$D$54+FVE!$F$54),IF(AND(SUM($D$3:D41)&gt;=0.2*(FVE!$D$54+FVE!$F$54),SUM($D$3:D41)&lt;(FVE!$D$54+FVE!$F$54)),(FVE!$D$54+FVE!$F$54)-SUM($D$3:D41),IF(AND(SUM($D$3:D41)&gt;=0.2*(FVE!$D$54+FVE!$F$54),SUM($D$3:D41)&gt;=(FVE!$D$54+FVE!$F$54),SUM($D$3:D40)&lt;(FVE!$D$54+FVE!$F$54)),"MAX. DOTACE BYLA DOSAŽENA (100% VÝKONU FVE) - DALŠÍ VÝDAJE JSOU NEZPŮSOBILÉ",IF(SUM($D$3:D40)&gt;=(FVE!$D$54+FVE!$F$54),""))))</f>
        <v/>
      </c>
      <c r="G41" s="162"/>
      <c r="H41" s="24">
        <f>IF(OR($D$53&lt;0.2*(FVE!$D$54+FVE!$F$54),Tabulka32[[#This Row],[KAPACITA AKUMULACE
(kWh)]]=0),0,IF(AND($D$53&gt;=0.2*(FVE!$D$54+FVE!$F$54),SUM($D$3:D41)&lt;=(FVE!$D$54+FVE!$F$54)),Tabulka32[[#This Row],[KAPACITA AKUMULACE
(kWh)]]*(-629.7*LN(Tabulka32[[#This Row],[KAPACITA AKUMULACE
(kWh)]])+25100),IF(AND($D$53&gt;=0.2*(FVE!$D$54+FVE!$F$54),SUM($D$3:D40)&lt;(FVE!$D$54+FVE!$F$54),SUM($D$3:D41)&gt;(FVE!$D$54+FVE!$F$54)),((FVE!$D$54+FVE!$F$54)-SUM($D$3:D40))*(-629.7*LN((FVE!$D$54+FVE!$F$54)-SUM($D$3:D40))+25100),IF(AND($D$53&gt;=0.2*(FVE!$D$54+FVE!$F$54),SUM($D$3:D40)&gt;(FVE!$D$54+FVE!$F$54)),0))))</f>
        <v>0</v>
      </c>
      <c r="I41" s="74"/>
    </row>
    <row r="42" spans="1:9" ht="16.5" thickTop="1" thickBot="1" x14ac:dyDescent="0.3">
      <c r="A42" s="159"/>
      <c r="B42" s="91"/>
      <c r="C42" s="75"/>
      <c r="D42" s="95"/>
      <c r="E42" s="76"/>
      <c r="F42" s="77" t="str">
        <f>IF(SUM($D$3:D42)&lt;0.2*(FVE!$D$54+FVE!$F$54),SUM($D$3:D42)-0.2*(FVE!$D$54+FVE!$F$54),IF(AND(SUM($D$3:D42)&gt;=0.2*(FVE!$D$54+FVE!$F$54),SUM($D$3:D42)&lt;(FVE!$D$54+FVE!$F$54)),(FVE!$D$54+FVE!$F$54)-SUM($D$3:D42),IF(AND(SUM($D$3:D42)&gt;=0.2*(FVE!$D$54+FVE!$F$54),SUM($D$3:D42)&gt;=(FVE!$D$54+FVE!$F$54),SUM($D$3:D41)&lt;(FVE!$D$54+FVE!$F$54)),"MAX. DOTACE BYLA DOSAŽENA (100% VÝKONU FVE) - DALŠÍ VÝDAJE JSOU NEZPŮSOBILÉ",IF(SUM($D$3:D41)&gt;=(FVE!$D$54+FVE!$F$54),""))))</f>
        <v/>
      </c>
      <c r="G42" s="162"/>
      <c r="H42" s="24">
        <f>IF(OR($D$53&lt;0.2*(FVE!$D$54+FVE!$F$54),Tabulka32[[#This Row],[KAPACITA AKUMULACE
(kWh)]]=0),0,IF(AND($D$53&gt;=0.2*(FVE!$D$54+FVE!$F$54),SUM($D$3:D42)&lt;=(FVE!$D$54+FVE!$F$54)),Tabulka32[[#This Row],[KAPACITA AKUMULACE
(kWh)]]*(-629.7*LN(Tabulka32[[#This Row],[KAPACITA AKUMULACE
(kWh)]])+25100),IF(AND($D$53&gt;=0.2*(FVE!$D$54+FVE!$F$54),SUM($D$3:D41)&lt;(FVE!$D$54+FVE!$F$54),SUM($D$3:D42)&gt;(FVE!$D$54+FVE!$F$54)),((FVE!$D$54+FVE!$F$54)-SUM($D$3:D41))*(-629.7*LN((FVE!$D$54+FVE!$F$54)-SUM($D$3:D41))+25100),IF(AND($D$53&gt;=0.2*(FVE!$D$54+FVE!$F$54),SUM($D$3:D41)&gt;(FVE!$D$54+FVE!$F$54)),0))))</f>
        <v>0</v>
      </c>
      <c r="I42" s="74"/>
    </row>
    <row r="43" spans="1:9" ht="16.5" thickTop="1" thickBot="1" x14ac:dyDescent="0.3">
      <c r="A43" s="159"/>
      <c r="B43" s="91"/>
      <c r="C43" s="75"/>
      <c r="D43" s="95"/>
      <c r="E43" s="76"/>
      <c r="F43" s="73" t="str">
        <f>IF(SUM($D$3:D43)&lt;0.2*(FVE!$D$54+FVE!$F$54),SUM($D$3:D43)-0.2*(FVE!$D$54+FVE!$F$54),IF(AND(SUM($D$3:D43)&gt;=0.2*(FVE!$D$54+FVE!$F$54),SUM($D$3:D43)&lt;(FVE!$D$54+FVE!$F$54)),(FVE!$D$54+FVE!$F$54)-SUM($D$3:D43),IF(AND(SUM($D$3:D43)&gt;=0.2*(FVE!$D$54+FVE!$F$54),SUM($D$3:D43)&gt;=(FVE!$D$54+FVE!$F$54),SUM($D$3:D42)&lt;(FVE!$D$54+FVE!$F$54)),"MAX. DOTACE BYLA DOSAŽENA (100% VÝKONU FVE) - DALŠÍ VÝDAJE JSOU NEZPŮSOBILÉ",IF(SUM($D$3:D42)&gt;=(FVE!$D$54+FVE!$F$54),""))))</f>
        <v/>
      </c>
      <c r="G43" s="162"/>
      <c r="H43" s="24">
        <f>IF(OR($D$53&lt;0.2*(FVE!$D$54+FVE!$F$54),Tabulka32[[#This Row],[KAPACITA AKUMULACE
(kWh)]]=0),0,IF(AND($D$53&gt;=0.2*(FVE!$D$54+FVE!$F$54),SUM($D$3:D43)&lt;=(FVE!$D$54+FVE!$F$54)),Tabulka32[[#This Row],[KAPACITA AKUMULACE
(kWh)]]*(-629.7*LN(Tabulka32[[#This Row],[KAPACITA AKUMULACE
(kWh)]])+25100),IF(AND($D$53&gt;=0.2*(FVE!$D$54+FVE!$F$54),SUM($D$3:D42)&lt;(FVE!$D$54+FVE!$F$54),SUM($D$3:D43)&gt;(FVE!$D$54+FVE!$F$54)),((FVE!$D$54+FVE!$F$54)-SUM($D$3:D42))*(-629.7*LN((FVE!$D$54+FVE!$F$54)-SUM($D$3:D42))+25100),IF(AND($D$53&gt;=0.2*(FVE!$D$54+FVE!$F$54),SUM($D$3:D42)&gt;(FVE!$D$54+FVE!$F$54)),0))))</f>
        <v>0</v>
      </c>
      <c r="I43" s="74"/>
    </row>
    <row r="44" spans="1:9" ht="16.5" thickTop="1" thickBot="1" x14ac:dyDescent="0.3">
      <c r="A44" s="159"/>
      <c r="B44" s="91"/>
      <c r="C44" s="75"/>
      <c r="D44" s="95"/>
      <c r="E44" s="76"/>
      <c r="F44" s="77" t="str">
        <f>IF(SUM($D$3:D44)&lt;0.2*(FVE!$D$54+FVE!$F$54),SUM($D$3:D44)-0.2*(FVE!$D$54+FVE!$F$54),IF(AND(SUM($D$3:D44)&gt;=0.2*(FVE!$D$54+FVE!$F$54),SUM($D$3:D44)&lt;(FVE!$D$54+FVE!$F$54)),(FVE!$D$54+FVE!$F$54)-SUM($D$3:D44),IF(AND(SUM($D$3:D44)&gt;=0.2*(FVE!$D$54+FVE!$F$54),SUM($D$3:D44)&gt;=(FVE!$D$54+FVE!$F$54),SUM($D$3:D43)&lt;(FVE!$D$54+FVE!$F$54)),"MAX. DOTACE BYLA DOSAŽENA (100% VÝKONU FVE) - DALŠÍ VÝDAJE JSOU NEZPŮSOBILÉ",IF(SUM($D$3:D43)&gt;=(FVE!$D$54+FVE!$F$54),""))))</f>
        <v/>
      </c>
      <c r="G44" s="162"/>
      <c r="H44" s="24">
        <f>IF(OR($D$53&lt;0.2*(FVE!$D$54+FVE!$F$54),Tabulka32[[#This Row],[KAPACITA AKUMULACE
(kWh)]]=0),0,IF(AND($D$53&gt;=0.2*(FVE!$D$54+FVE!$F$54),SUM($D$3:D44)&lt;=(FVE!$D$54+FVE!$F$54)),Tabulka32[[#This Row],[KAPACITA AKUMULACE
(kWh)]]*(-629.7*LN(Tabulka32[[#This Row],[KAPACITA AKUMULACE
(kWh)]])+25100),IF(AND($D$53&gt;=0.2*(FVE!$D$54+FVE!$F$54),SUM($D$3:D43)&lt;(FVE!$D$54+FVE!$F$54),SUM($D$3:D44)&gt;(FVE!$D$54+FVE!$F$54)),((FVE!$D$54+FVE!$F$54)-SUM($D$3:D43))*(-629.7*LN((FVE!$D$54+FVE!$F$54)-SUM($D$3:D43))+25100),IF(AND($D$53&gt;=0.2*(FVE!$D$54+FVE!$F$54),SUM($D$3:D43)&gt;(FVE!$D$54+FVE!$F$54)),0))))</f>
        <v>0</v>
      </c>
      <c r="I44" s="74"/>
    </row>
    <row r="45" spans="1:9" ht="16.5" thickTop="1" thickBot="1" x14ac:dyDescent="0.3">
      <c r="A45" s="159"/>
      <c r="B45" s="91"/>
      <c r="C45" s="75"/>
      <c r="D45" s="94"/>
      <c r="E45" s="76"/>
      <c r="F45" s="77" t="str">
        <f>IF(SUM($D$3:D45)&lt;0.2*(FVE!$D$54+FVE!$F$54),SUM($D$3:D45)-0.2*(FVE!$D$54+FVE!$F$54),IF(AND(SUM($D$3:D45)&gt;=0.2*(FVE!$D$54+FVE!$F$54),SUM($D$3:D45)&lt;(FVE!$D$54+FVE!$F$54)),(FVE!$D$54+FVE!$F$54)-SUM($D$3:D45),IF(AND(SUM($D$3:D45)&gt;=0.2*(FVE!$D$54+FVE!$F$54),SUM($D$3:D45)&gt;=(FVE!$D$54+FVE!$F$54),SUM($D$3:D44)&lt;(FVE!$D$54+FVE!$F$54)),"MAX. DOTACE BYLA DOSAŽENA (100% VÝKONU FVE) - DALŠÍ VÝDAJE JSOU NEZPŮSOBILÉ",IF(SUM($D$3:D44)&gt;=(FVE!$D$54+FVE!$F$54),""))))</f>
        <v/>
      </c>
      <c r="G45" s="162"/>
      <c r="H45" s="24">
        <f>IF(OR($D$53&lt;0.2*(FVE!$D$54+FVE!$F$54),Tabulka32[[#This Row],[KAPACITA AKUMULACE
(kWh)]]=0),0,IF(AND($D$53&gt;=0.2*(FVE!$D$54+FVE!$F$54),SUM($D$3:D45)&lt;=(FVE!$D$54+FVE!$F$54)),Tabulka32[[#This Row],[KAPACITA AKUMULACE
(kWh)]]*(-629.7*LN(Tabulka32[[#This Row],[KAPACITA AKUMULACE
(kWh)]])+25100),IF(AND($D$53&gt;=0.2*(FVE!$D$54+FVE!$F$54),SUM($D$3:D44)&lt;(FVE!$D$54+FVE!$F$54),SUM($D$3:D45)&gt;(FVE!$D$54+FVE!$F$54)),((FVE!$D$54+FVE!$F$54)-SUM($D$3:D44))*(-629.7*LN((FVE!$D$54+FVE!$F$54)-SUM($D$3:D44))+25100),IF(AND($D$53&gt;=0.2*(FVE!$D$54+FVE!$F$54),SUM($D$3:D44)&gt;(FVE!$D$54+FVE!$F$54)),0))))</f>
        <v>0</v>
      </c>
      <c r="I45" s="74"/>
    </row>
    <row r="46" spans="1:9" ht="16.5" thickTop="1" thickBot="1" x14ac:dyDescent="0.3">
      <c r="A46" s="159"/>
      <c r="B46" s="91"/>
      <c r="C46" s="75"/>
      <c r="D46" s="95"/>
      <c r="E46" s="76"/>
      <c r="F46" s="77" t="str">
        <f>IF(SUM($D$3:D46)&lt;0.2*(FVE!$D$54+FVE!$F$54),SUM($D$3:D46)-0.2*(FVE!$D$54+FVE!$F$54),IF(AND(SUM($D$3:D46)&gt;=0.2*(FVE!$D$54+FVE!$F$54),SUM($D$3:D46)&lt;(FVE!$D$54+FVE!$F$54)),(FVE!$D$54+FVE!$F$54)-SUM($D$3:D46),IF(AND(SUM($D$3:D46)&gt;=0.2*(FVE!$D$54+FVE!$F$54),SUM($D$3:D46)&gt;=(FVE!$D$54+FVE!$F$54),SUM($D$3:D45)&lt;(FVE!$D$54+FVE!$F$54)),"MAX. DOTACE BYLA DOSAŽENA (100% VÝKONU FVE) - DALŠÍ VÝDAJE JSOU NEZPŮSOBILÉ",IF(SUM($D$3:D45)&gt;=(FVE!$D$54+FVE!$F$54),""))))</f>
        <v/>
      </c>
      <c r="G46" s="162"/>
      <c r="H46" s="24">
        <f>IF(OR($D$53&lt;0.2*(FVE!$D$54+FVE!$F$54),Tabulka32[[#This Row],[KAPACITA AKUMULACE
(kWh)]]=0),0,IF(AND($D$53&gt;=0.2*(FVE!$D$54+FVE!$F$54),SUM($D$3:D46)&lt;=(FVE!$D$54+FVE!$F$54)),Tabulka32[[#This Row],[KAPACITA AKUMULACE
(kWh)]]*(-629.7*LN(Tabulka32[[#This Row],[KAPACITA AKUMULACE
(kWh)]])+25100),IF(AND($D$53&gt;=0.2*(FVE!$D$54+FVE!$F$54),SUM($D$3:D45)&lt;(FVE!$D$54+FVE!$F$54),SUM($D$3:D46)&gt;(FVE!$D$54+FVE!$F$54)),((FVE!$D$54+FVE!$F$54)-SUM($D$3:D45))*(-629.7*LN((FVE!$D$54+FVE!$F$54)-SUM($D$3:D45))+25100),IF(AND($D$53&gt;=0.2*(FVE!$D$54+FVE!$F$54),SUM($D$3:D45)&gt;(FVE!$D$54+FVE!$F$54)),0))))</f>
        <v>0</v>
      </c>
      <c r="I46" s="74"/>
    </row>
    <row r="47" spans="1:9" ht="16.5" thickTop="1" thickBot="1" x14ac:dyDescent="0.3">
      <c r="A47" s="159"/>
      <c r="B47" s="91"/>
      <c r="C47" s="75"/>
      <c r="D47" s="95"/>
      <c r="E47" s="76"/>
      <c r="F47" s="77" t="str">
        <f>IF(SUM($D$3:D47)&lt;0.2*(FVE!$D$54+FVE!$F$54),SUM($D$3:D47)-0.2*(FVE!$D$54+FVE!$F$54),IF(AND(SUM($D$3:D47)&gt;=0.2*(FVE!$D$54+FVE!$F$54),SUM($D$3:D47)&lt;(FVE!$D$54+FVE!$F$54)),(FVE!$D$54+FVE!$F$54)-SUM($D$3:D47),IF(AND(SUM($D$3:D47)&gt;=0.2*(FVE!$D$54+FVE!$F$54),SUM($D$3:D47)&gt;=(FVE!$D$54+FVE!$F$54),SUM($D$3:D46)&lt;(FVE!$D$54+FVE!$F$54)),"MAX. DOTACE BYLA DOSAŽENA (100% VÝKONU FVE) - DALŠÍ VÝDAJE JSOU NEZPŮSOBILÉ",IF(SUM($D$3:D46)&gt;=(FVE!$D$54+FVE!$F$54),""))))</f>
        <v/>
      </c>
      <c r="G47" s="162"/>
      <c r="H47" s="24">
        <f>IF(OR($D$53&lt;0.2*(FVE!$D$54+FVE!$F$54),Tabulka32[[#This Row],[KAPACITA AKUMULACE
(kWh)]]=0),0,IF(AND($D$53&gt;=0.2*(FVE!$D$54+FVE!$F$54),SUM($D$3:D47)&lt;=(FVE!$D$54+FVE!$F$54)),Tabulka32[[#This Row],[KAPACITA AKUMULACE
(kWh)]]*(-629.7*LN(Tabulka32[[#This Row],[KAPACITA AKUMULACE
(kWh)]])+25100),IF(AND($D$53&gt;=0.2*(FVE!$D$54+FVE!$F$54),SUM($D$3:D46)&lt;(FVE!$D$54+FVE!$F$54),SUM($D$3:D47)&gt;(FVE!$D$54+FVE!$F$54)),((FVE!$D$54+FVE!$F$54)-SUM($D$3:D46))*(-629.7*LN((FVE!$D$54+FVE!$F$54)-SUM($D$3:D46))+25100),IF(AND($D$53&gt;=0.2*(FVE!$D$54+FVE!$F$54),SUM($D$3:D46)&gt;(FVE!$D$54+FVE!$F$54)),0))))</f>
        <v>0</v>
      </c>
      <c r="I47" s="74"/>
    </row>
    <row r="48" spans="1:9" ht="16.5" thickTop="1" thickBot="1" x14ac:dyDescent="0.3">
      <c r="A48" s="159"/>
      <c r="B48" s="92"/>
      <c r="C48" s="75"/>
      <c r="D48" s="95"/>
      <c r="E48" s="76"/>
      <c r="F48" s="77" t="str">
        <f>IF(SUM($D$3:D48)&lt;0.2*(FVE!$D$54+FVE!$F$54),SUM($D$3:D48)-0.2*(FVE!$D$54+FVE!$F$54),IF(AND(SUM($D$3:D48)&gt;=0.2*(FVE!$D$54+FVE!$F$54),SUM($D$3:D48)&lt;(FVE!$D$54+FVE!$F$54)),(FVE!$D$54+FVE!$F$54)-SUM($D$3:D48),IF(AND(SUM($D$3:D48)&gt;=0.2*(FVE!$D$54+FVE!$F$54),SUM($D$3:D48)&gt;=(FVE!$D$54+FVE!$F$54),SUM($D$3:D47)&lt;(FVE!$D$54+FVE!$F$54)),"MAX. DOTACE BYLA DOSAŽENA (100% VÝKONU FVE) - DALŠÍ VÝDAJE JSOU NEZPŮSOBILÉ",IF(SUM($D$3:D47)&gt;=(FVE!$D$54+FVE!$F$54),""))))</f>
        <v/>
      </c>
      <c r="G48" s="162"/>
      <c r="H48" s="24">
        <f>IF(OR($D$53&lt;0.2*(FVE!$D$54+FVE!$F$54),Tabulka32[[#This Row],[KAPACITA AKUMULACE
(kWh)]]=0),0,IF(AND($D$53&gt;=0.2*(FVE!$D$54+FVE!$F$54),SUM($D$3:D48)&lt;=(FVE!$D$54+FVE!$F$54)),Tabulka32[[#This Row],[KAPACITA AKUMULACE
(kWh)]]*(-629.7*LN(Tabulka32[[#This Row],[KAPACITA AKUMULACE
(kWh)]])+25100),IF(AND($D$53&gt;=0.2*(FVE!$D$54+FVE!$F$54),SUM($D$3:D47)&lt;(FVE!$D$54+FVE!$F$54),SUM($D$3:D48)&gt;(FVE!$D$54+FVE!$F$54)),((FVE!$D$54+FVE!$F$54)-SUM($D$3:D47))*(-629.7*LN((FVE!$D$54+FVE!$F$54)-SUM($D$3:D47))+25100),IF(AND($D$53&gt;=0.2*(FVE!$D$54+FVE!$F$54),SUM($D$3:D47)&gt;(FVE!$D$54+FVE!$F$54)),0))))</f>
        <v>0</v>
      </c>
      <c r="I48" s="74"/>
    </row>
    <row r="49" spans="1:10" ht="16.5" thickTop="1" thickBot="1" x14ac:dyDescent="0.3">
      <c r="A49" s="159"/>
      <c r="B49" s="91"/>
      <c r="C49" s="75"/>
      <c r="D49" s="95"/>
      <c r="E49" s="76"/>
      <c r="F49" s="77" t="str">
        <f>IF(SUM($D$3:D49)&lt;0.2*(FVE!$D$54+FVE!$F$54),SUM($D$3:D49)-0.2*(FVE!$D$54+FVE!$F$54),IF(AND(SUM($D$3:D49)&gt;=0.2*(FVE!$D$54+FVE!$F$54),SUM($D$3:D49)&lt;(FVE!$D$54+FVE!$F$54)),(FVE!$D$54+FVE!$F$54)-SUM($D$3:D49),IF(AND(SUM($D$3:D49)&gt;=0.2*(FVE!$D$54+FVE!$F$54),SUM($D$3:D49)&gt;=(FVE!$D$54+FVE!$F$54),SUM($D$3:D48)&lt;(FVE!$D$54+FVE!$F$54)),"MAX. DOTACE BYLA DOSAŽENA (100% VÝKONU FVE) - DALŠÍ VÝDAJE JSOU NEZPŮSOBILÉ",IF(SUM($D$3:D48)&gt;=(FVE!$D$54+FVE!$F$54),""))))</f>
        <v/>
      </c>
      <c r="G49" s="162"/>
      <c r="H49" s="24">
        <f>IF(OR($D$53&lt;0.2*(FVE!$D$54+FVE!$F$54),Tabulka32[[#This Row],[KAPACITA AKUMULACE
(kWh)]]=0),0,IF(AND($D$53&gt;=0.2*(FVE!$D$54+FVE!$F$54),SUM($D$3:D49)&lt;=(FVE!$D$54+FVE!$F$54)),Tabulka32[[#This Row],[KAPACITA AKUMULACE
(kWh)]]*(-629.7*LN(Tabulka32[[#This Row],[KAPACITA AKUMULACE
(kWh)]])+25100),IF(AND($D$53&gt;=0.2*(FVE!$D$54+FVE!$F$54),SUM($D$3:D48)&lt;(FVE!$D$54+FVE!$F$54),SUM($D$3:D49)&gt;(FVE!$D$54+FVE!$F$54)),((FVE!$D$54+FVE!$F$54)-SUM($D$3:D48))*(-629.7*LN((FVE!$D$54+FVE!$F$54)-SUM($D$3:D48))+25100),IF(AND($D$53&gt;=0.2*(FVE!$D$54+FVE!$F$54),SUM($D$3:D48)&gt;(FVE!$D$54+FVE!$F$54)),0))))</f>
        <v>0</v>
      </c>
      <c r="I49" s="74"/>
    </row>
    <row r="50" spans="1:10" ht="16.5" thickTop="1" thickBot="1" x14ac:dyDescent="0.3">
      <c r="A50" s="159"/>
      <c r="B50" s="91"/>
      <c r="C50" s="75"/>
      <c r="D50" s="95"/>
      <c r="E50" s="76"/>
      <c r="F50" s="77" t="str">
        <f>IF(SUM($D$3:D50)&lt;0.2*(FVE!$D$54+FVE!$F$54),SUM($D$3:D50)-0.2*(FVE!$D$54+FVE!$F$54),IF(AND(SUM($D$3:D50)&gt;=0.2*(FVE!$D$54+FVE!$F$54),SUM($D$3:D50)&lt;(FVE!$D$54+FVE!$F$54)),(FVE!$D$54+FVE!$F$54)-SUM($D$3:D50),IF(AND(SUM($D$3:D50)&gt;=0.2*(FVE!$D$54+FVE!$F$54),SUM($D$3:D50)&gt;=(FVE!$D$54+FVE!$F$54),SUM($D$3:D49)&lt;(FVE!$D$54+FVE!$F$54)),"MAX. DOTACE BYLA DOSAŽENA (100% VÝKONU FVE) - DALŠÍ VÝDAJE JSOU NEZPŮSOBILÉ",IF(SUM($D$3:D49)&gt;=(FVE!$D$54+FVE!$F$54),""))))</f>
        <v/>
      </c>
      <c r="G50" s="162"/>
      <c r="H50" s="24">
        <f>IF(OR($D$53&lt;0.2*(FVE!$D$54+FVE!$F$54),Tabulka32[[#This Row],[KAPACITA AKUMULACE
(kWh)]]=0),0,IF(AND($D$53&gt;=0.2*(FVE!$D$54+FVE!$F$54),SUM($D$3:D50)&lt;=(FVE!$D$54+FVE!$F$54)),Tabulka32[[#This Row],[KAPACITA AKUMULACE
(kWh)]]*(-629.7*LN(Tabulka32[[#This Row],[KAPACITA AKUMULACE
(kWh)]])+25100),IF(AND($D$53&gt;=0.2*(FVE!$D$54+FVE!$F$54),SUM($D$3:D49)&lt;(FVE!$D$54+FVE!$F$54),SUM($D$3:D50)&gt;(FVE!$D$54+FVE!$F$54)),((FVE!$D$54+FVE!$F$54)-SUM($D$3:D49))*(-629.7*LN((FVE!$D$54+FVE!$F$54)-SUM($D$3:D49))+25100),IF(AND($D$53&gt;=0.2*(FVE!$D$54+FVE!$F$54),SUM($D$3:D49)&gt;(FVE!$D$54+FVE!$F$54)),0))))</f>
        <v>0</v>
      </c>
      <c r="I50" s="74"/>
    </row>
    <row r="51" spans="1:10" ht="16.5" thickTop="1" thickBot="1" x14ac:dyDescent="0.3">
      <c r="A51" s="159"/>
      <c r="B51" s="91"/>
      <c r="C51" s="75"/>
      <c r="D51" s="95"/>
      <c r="E51" s="76"/>
      <c r="F51" s="77" t="str">
        <f>IF(SUM($D$3:D51)&lt;0.2*(FVE!$D$54+FVE!$F$54),SUM($D$3:D51)-0.2*(FVE!$D$54+FVE!$F$54),IF(AND(SUM($D$3:D51)&gt;=0.2*(FVE!$D$54+FVE!$F$54),SUM($D$3:D51)&lt;(FVE!$D$54+FVE!$F$54)),(FVE!$D$54+FVE!$F$54)-SUM($D$3:D51),IF(AND(SUM($D$3:D51)&gt;=0.2*(FVE!$D$54+FVE!$F$54),SUM($D$3:D51)&gt;=(FVE!$D$54+FVE!$F$54),SUM($D$3:D50)&lt;(FVE!$D$54+FVE!$F$54)),"MAX. DOTACE BYLA DOSAŽENA (100% VÝKONU FVE) - DALŠÍ VÝDAJE JSOU NEZPŮSOBILÉ",IF(SUM($D$3:D50)&gt;=(FVE!$D$54+FVE!$F$54),""))))</f>
        <v/>
      </c>
      <c r="G51" s="162"/>
      <c r="H51" s="24">
        <f>IF(OR($D$53&lt;0.2*(FVE!$D$54+FVE!$F$54),Tabulka32[[#This Row],[KAPACITA AKUMULACE
(kWh)]]=0),0,IF(AND($D$53&gt;=0.2*(FVE!$D$54+FVE!$F$54),SUM($D$3:D51)&lt;=(FVE!$D$54+FVE!$F$54)),Tabulka32[[#This Row],[KAPACITA AKUMULACE
(kWh)]]*(-629.7*LN(Tabulka32[[#This Row],[KAPACITA AKUMULACE
(kWh)]])+25100),IF(AND($D$53&gt;=0.2*(FVE!$D$54+FVE!$F$54),SUM($D$3:D50)&lt;(FVE!$D$54+FVE!$F$54),SUM($D$3:D51)&gt;(FVE!$D$54+FVE!$F$54)),((FVE!$D$54+FVE!$F$54)-SUM($D$3:D50))*(-629.7*LN((FVE!$D$54+FVE!$F$54)-SUM($D$3:D50))+25100),IF(AND($D$53&gt;=0.2*(FVE!$D$54+FVE!$F$54),SUM($D$3:D50)&gt;(FVE!$D$54+FVE!$F$54)),0))))</f>
        <v>0</v>
      </c>
      <c r="I51" s="74"/>
    </row>
    <row r="52" spans="1:10" ht="16.5" thickTop="1" thickBot="1" x14ac:dyDescent="0.3">
      <c r="A52" s="159"/>
      <c r="B52" s="93"/>
      <c r="C52" s="78"/>
      <c r="D52" s="96"/>
      <c r="E52" s="79"/>
      <c r="F52" s="80" t="str">
        <f>IF(SUM($D$3:D52)&lt;0.2*(FVE!$D$54+FVE!$F$54),SUM($D$3:D52)-0.2*(FVE!$D$54+FVE!$F$54),IF(AND(SUM($D$3:D52)&gt;=0.2*(FVE!$D$54+FVE!$F$54),SUM($D$3:D52)&lt;(FVE!$D$54+FVE!$F$54)),(FVE!$D$54+FVE!$F$54)-SUM($D$3:D52),IF(AND(SUM($D$3:D52)&gt;=0.2*(FVE!$D$54+FVE!$F$54),SUM($D$3:D52)&gt;=(FVE!$D$54+FVE!$F$54),SUM($D$3:D51)&lt;(FVE!$D$54+FVE!$F$54)),"MAX. DOTACE BYLA DOSAŽENA (100% VÝKONU FVE) - DALŠÍ VÝDAJE JSOU NEZPŮSOBILÉ",IF(SUM($D$3:D51)&gt;=(FVE!$D$54+FVE!$F$54),""))))</f>
        <v/>
      </c>
      <c r="G52" s="162"/>
      <c r="H52" s="24">
        <f>IF(OR($D$53&lt;0.2*(FVE!$D$54+FVE!$F$54),Tabulka32[[#This Row],[KAPACITA AKUMULACE
(kWh)]]=0),0,IF(AND($D$53&gt;=0.2*(FVE!$D$54+FVE!$F$54),SUM($D$3:D52)&lt;=(FVE!$D$54+FVE!$F$54)),Tabulka32[[#This Row],[KAPACITA AKUMULACE
(kWh)]]*(-629.7*LN(Tabulka32[[#This Row],[KAPACITA AKUMULACE
(kWh)]])+25100),IF(AND($D$53&gt;=0.2*(FVE!$D$54+FVE!$F$54),SUM($D$3:D51)&lt;(FVE!$D$54+FVE!$F$54),SUM($D$3:D52)&gt;(FVE!$D$54+FVE!$F$54)),((FVE!$D$54+FVE!$F$54)-SUM($D$3:D51))*(-629.7*LN((FVE!$D$54+FVE!$F$54)-SUM($D$3:D51))+25100),IF(AND($D$53&gt;=0.2*(FVE!$D$54+FVE!$F$54),SUM($D$3:D51)&gt;(FVE!$D$54+FVE!$F$54)),0))))</f>
        <v>0</v>
      </c>
      <c r="I52" s="74"/>
    </row>
    <row r="53" spans="1:10" ht="24" customHeight="1" thickTop="1" thickBot="1" x14ac:dyDescent="0.3">
      <c r="A53" s="160"/>
      <c r="B53" s="81" t="s">
        <v>16</v>
      </c>
      <c r="C53" s="82"/>
      <c r="D53" s="83">
        <f>SUBTOTAL(109,D3:D52)</f>
        <v>0</v>
      </c>
      <c r="E53" s="84"/>
      <c r="F53" s="85">
        <f>SUM(D52:D53)</f>
        <v>0</v>
      </c>
      <c r="G53" s="163"/>
      <c r="H53" s="86">
        <f>SUM(H3:H52)</f>
        <v>0</v>
      </c>
      <c r="I53" s="74"/>
    </row>
    <row r="54" spans="1:10" ht="15.75" hidden="1" thickTop="1" x14ac:dyDescent="0.25">
      <c r="A54" s="87"/>
      <c r="B54" s="88"/>
      <c r="C54" s="88"/>
      <c r="D54" s="39"/>
      <c r="E54" s="39"/>
      <c r="F54" s="39"/>
    </row>
    <row r="55" spans="1:10" hidden="1" x14ac:dyDescent="0.25">
      <c r="H55" s="24"/>
    </row>
    <row r="56" spans="1:10" hidden="1" x14ac:dyDescent="0.25">
      <c r="H56" s="89"/>
      <c r="I56" s="57"/>
      <c r="J56" s="57"/>
    </row>
  </sheetData>
  <sheetProtection algorithmName="SHA-512" hashValue="LWj4cWxQhMPz5BOV9/coO5tPw9VdmJTttJtutIQ9jodgUBw5/vv/8XiurHXp+zTSbJWlqy7+dv88AXIyNywl8w==" saltValue="u8sh75WS+I+O1tXYHcGQ+g==" spinCount="100000" sheet="1" objects="1" scenarios="1"/>
  <mergeCells count="3">
    <mergeCell ref="A2:A53"/>
    <mergeCell ref="G2:G53"/>
    <mergeCell ref="A1:G1"/>
  </mergeCells>
  <pageMargins left="0.7" right="0.7" top="0.78740157499999996" bottom="0.78740157499999996" header="0.3" footer="0.3"/>
  <pageSetup paperSize="9" scale="68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U56"/>
  <sheetViews>
    <sheetView showGridLines="0" showRowColHeaders="0" workbookViewId="0">
      <selection activeCell="B3" sqref="B3"/>
    </sheetView>
  </sheetViews>
  <sheetFormatPr defaultColWidth="0" defaultRowHeight="15" zeroHeight="1" x14ac:dyDescent="0.25"/>
  <cols>
    <col min="1" max="1" width="5.7109375" style="15" customWidth="1"/>
    <col min="2" max="2" width="22.7109375" style="53" customWidth="1"/>
    <col min="3" max="3" width="4.7109375" style="53" customWidth="1"/>
    <col min="4" max="4" width="24.7109375" style="15" customWidth="1"/>
    <col min="5" max="5" width="4.7109375" style="15" customWidth="1"/>
    <col min="6" max="6" width="79.28515625" style="15" customWidth="1"/>
    <col min="7" max="7" width="5.5703125" style="15" customWidth="1"/>
    <col min="8" max="8" width="14.7109375" style="15" hidden="1" customWidth="1"/>
    <col min="9" max="9" width="11.85546875" style="15" hidden="1" customWidth="1"/>
    <col min="10" max="11" width="9.140625" style="15" hidden="1" customWidth="1"/>
    <col min="12" max="12" width="10.28515625" style="15" hidden="1" customWidth="1"/>
    <col min="13" max="13" width="10.5703125" style="15" hidden="1" customWidth="1"/>
    <col min="14" max="14" width="9.28515625" style="15" hidden="1" customWidth="1"/>
    <col min="15" max="15" width="11.85546875" style="15" hidden="1" customWidth="1"/>
    <col min="16" max="16" width="9.28515625" style="15" hidden="1" customWidth="1"/>
    <col min="17" max="17" width="16.28515625" style="15" hidden="1" customWidth="1"/>
    <col min="18" max="21" width="12" style="15" hidden="1" customWidth="1"/>
    <col min="22" max="16384" width="9.140625" style="15" hidden="1"/>
  </cols>
  <sheetData>
    <row r="1" spans="1:21" ht="21" customHeight="1" thickBot="1" x14ac:dyDescent="0.3">
      <c r="A1" s="164" t="s">
        <v>48</v>
      </c>
      <c r="B1" s="164"/>
      <c r="C1" s="164"/>
      <c r="D1" s="164"/>
      <c r="E1" s="164"/>
      <c r="F1" s="164"/>
      <c r="G1" s="164"/>
      <c r="H1" s="97"/>
      <c r="I1" s="97"/>
    </row>
    <row r="2" spans="1:21" s="20" customFormat="1" ht="38.25" customHeight="1" thickBot="1" x14ac:dyDescent="0.3">
      <c r="A2" s="165"/>
      <c r="B2" s="98" t="s">
        <v>42</v>
      </c>
      <c r="C2" s="13" t="s">
        <v>37</v>
      </c>
      <c r="D2" s="98" t="s">
        <v>47</v>
      </c>
      <c r="E2" s="13" t="s">
        <v>41</v>
      </c>
      <c r="F2" s="99" t="s">
        <v>49</v>
      </c>
      <c r="G2" s="166"/>
      <c r="H2" s="19" t="s">
        <v>28</v>
      </c>
      <c r="I2" s="19" t="s">
        <v>35</v>
      </c>
      <c r="J2" s="19" t="s">
        <v>33</v>
      </c>
      <c r="K2" s="19"/>
      <c r="L2" s="19" t="s">
        <v>34</v>
      </c>
      <c r="M2" s="19" t="s">
        <v>33</v>
      </c>
      <c r="N2" s="19"/>
      <c r="O2" s="19"/>
      <c r="P2" s="19"/>
      <c r="Q2" s="19"/>
      <c r="R2" s="19"/>
      <c r="S2" s="19"/>
      <c r="T2" s="19"/>
      <c r="U2" s="19"/>
    </row>
    <row r="3" spans="1:21" ht="15.75" thickBot="1" x14ac:dyDescent="0.3">
      <c r="A3" s="159"/>
      <c r="B3" s="90"/>
      <c r="C3" s="4"/>
      <c r="D3" s="94"/>
      <c r="E3" s="72"/>
      <c r="F3" s="73" t="str">
        <f>IF(OR(AND(D3&gt;0.0001,D3&lt;3),D3&gt;5000),"mimo povolený rozsah",IF('Bateriová úložiště'!$D$53&gt;=(FVE!$D$54+FVE!$F$54),"kapacita bateriové akumulace převyšuje 100% výkonu FVE",IF(J3&lt;0.1*(FVE!$D$54+FVE!$F$54),-((ABS(J3-0.1*(FVE!$D$54+FVE!$F$54))/6.2807)^(1/0.959)),IF(AND(J3&gt;=0.1*(FVE!$D$54+FVE!$F$54),(J3+'Bateriová úložiště'!$D$53)&lt;(FVE!$D$54+FVE!$F$54),J3&lt;0.6*(FVE!$D$54+FVE!$F$54),(J3-0.6*(FVE!$D$54+FVE!$F$54))&lt;(J3+'Bateriová úložiště'!$D$53-(FVE!$D$54+FVE!$F$54))),(((FVE!$D$54+FVE!$F$54)-(J3+'Bateriová úložiště'!$D$53))/6.2807)^(1/0.959),IF(AND('Bateriová úložiště'!$D$53&lt;(FVE!$D$54+FVE!$F$54),J3&gt;=0.1*(FVE!$D$54+FVE!$F$54),J3&lt;=0.6*(FVE!$D$54+FVE!$F$54),(J3+'Bateriová úložiště'!$D$53)&lt;(FVE!$D$54+FVE!$F$54),(J3-0.6*(FVE!$D$54+FVE!$F$54))&gt;=(J3+'Bateriová úložiště'!$D$53-(FVE!$D$54+FVE!$F$54))),((0.6*(FVE!$D$54+FVE!$F$54)-J3)/6.2807)^(1/0.959),IF(OR((J3+'Bateriová úložiště'!$D$53)&gt;=(FVE!$D$54+FVE!$F$54),J3&gt;=0.6*(FVE!$D$54+FVE!$F$54)),"max. dotace byla dosažena (100% výkonu FVE) - další výdaje jsou NEZPŮSOBILÉ",""))))))</f>
        <v>kapacita bateriové akumulace převyšuje 100% výkonu FVE</v>
      </c>
      <c r="G3" s="162"/>
      <c r="H3" s="24">
        <f>IF(OR(D3&lt;3,D3&gt;5000,$I$53&lt;0.1*(FVE!$D$54+FVE!$F$54),'Bateriová úložiště'!$D$53&gt;=(FVE!$D$54+FVE!$F$54)),0,IF(AND(D3&lt;=200,J3&lt;=0.6*(FVE!$D$54+FVE!$F$54),(J3+'Bateriová úložiště'!$D$53)&lt;=(FVE!$D$54+FVE!$F$54)),(1754822.82*D3^0.69),IF(AND(D3&lt;=200,(J3-0.6*(FVE!$D$54+FVE!$F$54))&gt;(J3+'Bateriová úložiště'!$D$53-(FVE!$D$54+FVE!$F$54))),1754822.82*(((0.6*(FVE!$D$54+FVE!$F$54))/6.2807)^(1/0.959))^0.69,IF(AND(D3&lt;=200,(J3-0.6*(FVE!$D$54+FVE!$F$54))&lt;=(J3+'Bateriová úložiště'!$D$53-(FVE!$D$54+FVE!$F$54))),1754822.82*(((J3-(J3+'Bateriová úložiště'!$D$53-(FVE!$D$54+FVE!$F$54)))/6.2807)^(1/0.959))^0.69,IF(AND(D3&gt;200,J3&lt;=0.6*(FVE!$D$54+FVE!$F$54),(J3+'Bateriová úložiště'!$D$53)&lt;=(FVE!$D$54+FVE!$F$54)),(1559103.03*D3^0.71),IF(AND(D3&gt;200,(J3-0.6*(FVE!$D$54+FVE!$F$54))&gt;(J3+'Bateriová úložiště'!$D$53-(FVE!$D$54+FVE!$F$54))),1559103.03*((((0.6*(FVE!$D$54+FVE!$F$54)))/6.2807)^(1/0.959))^0.71,IF(AND(D3&gt;200,(J3-0.6*(FVE!$D$54+FVE!$F$54))&lt;=(J3+'Bateriová úložiště'!$D$53-(FVE!$D$54+FVE!$F$54))),1559103.03*(((J3-(J3+'Bateriová úložiště'!$D$53-(FVE!$D$54+FVE!$F$54)))/6.2807)^(1/0.959))^0.71,0)))))))</f>
        <v>0</v>
      </c>
      <c r="I3" s="24">
        <f>6.2807*D3^0.959</f>
        <v>0</v>
      </c>
      <c r="J3" s="24">
        <f>I3</f>
        <v>0</v>
      </c>
      <c r="K3" s="24"/>
      <c r="L3" s="24" t="e">
        <f>6.2807*ABS(F3)^0.959</f>
        <v>#VALUE!</v>
      </c>
      <c r="M3" s="24" t="e">
        <f>6.2807*(SUM(ABS($F$3:F3))^0.959)</f>
        <v>#VALUE!</v>
      </c>
      <c r="N3" s="14">
        <f>(I3/6.2807)^(1/0.959)</f>
        <v>0</v>
      </c>
      <c r="O3" s="24" t="e">
        <f>(L3/6.2807)^(1/0.959)</f>
        <v>#VALUE!</v>
      </c>
      <c r="P3" s="24">
        <f>(J3/6.2807)^(1/0.959)</f>
        <v>0</v>
      </c>
      <c r="Q3" s="100" t="e">
        <f>J3/(FVE!$D$54+FVE!$F$54)</f>
        <v>#DIV/0!</v>
      </c>
      <c r="R3" s="14" t="e">
        <f>0.6*(FVE!$D$54+FVE!$F$54)-J2</f>
        <v>#VALUE!</v>
      </c>
      <c r="S3" s="24" t="e">
        <f>(FVE!$D$54+FVE!$F$54)-'Bateriová úložiště'!$D$53-J2</f>
        <v>#VALUE!</v>
      </c>
      <c r="T3" s="14" t="e">
        <f>(R3/6.2807)^(1/0.959)</f>
        <v>#VALUE!</v>
      </c>
      <c r="U3" s="14" t="e">
        <f>(S3/6.2807)^(1/0.959)</f>
        <v>#VALUE!</v>
      </c>
    </row>
    <row r="4" spans="1:21" ht="16.5" thickTop="1" thickBot="1" x14ac:dyDescent="0.3">
      <c r="A4" s="159"/>
      <c r="B4" s="91"/>
      <c r="C4" s="5"/>
      <c r="D4" s="95"/>
      <c r="E4" s="76"/>
      <c r="F4" s="77" t="str">
        <f>IF(OR(AND(D4&gt;0.0001,D4&lt;3),D4&gt;5000),"MIMO POVOLENÝ ROZSAH",IF(AND('Bateriová úložiště'!$D$53&lt;(FVE!$D$54+FVE!$F$54),J4&lt;0.1*(FVE!$D$54+FVE!$F$54)),-((ABS(J4-0.1*(FVE!$D$54+FVE!$F$54))/6.2807)^(1/0.959)),IF(AND('Bateriová úložiště'!$D$53&lt;(FVE!$D$54+FVE!$F$54),J4&gt;=0.1*(FVE!$D$54+FVE!$F$54),J4&lt;=0.6*(FVE!$D$54+FVE!$F$54),(J4+'Bateriová úložiště'!$D$53)&lt;(FVE!$D$54+FVE!$F$54),(J4-0.6*(FVE!$D$54+FVE!$F$54))&lt;(J4+'Bateriová úložiště'!$D$53-(FVE!$D$54+FVE!$F$54))),(((FVE!$D$54+FVE!$F$54)-(J4+'Bateriová úložiště'!$D$53))/6.2807)^(1/0.959),IF(AND('Bateriová úložiště'!$D$53&lt;(FVE!$D$54+FVE!$F$54),J4&gt;=0.1*(FVE!$D$54+FVE!$F$54),J4&lt;=0.6*(FVE!$D$54+FVE!$F$54),(J4+'Bateriová úložiště'!$D$53)&lt;(FVE!$D$54+FVE!$F$54),(J4-0.6*(FVE!$D$54+FVE!$F$54))&gt;=(J4+'Bateriová úložiště'!$D$53-(FVE!$D$54+FVE!$F$54))),((0.6*(FVE!$D$54+FVE!$F$54)-J4)/6.2807)^(1/0.959),IF(AND(OR((J4+'Bateriová úložiště'!$D$53)&gt;=(FVE!$D$54+FVE!$F$54),J4&gt;=0.6*(FVE!$D$54+FVE!$F$54)),(J3+'Bateriová úložiště'!$D$53)&lt;(FVE!$D$54+FVE!$F$54),J3&lt;0.6*(FVE!$D$54+FVE!$F$54)),"MAX. DOTACE BYLA DOSAŽENA (100% VÝKONU FVE) - DALŠÍ VÝDAJE JSOU NEZPŮSOBILÉ",IF(OR(J3&gt;=0.6*(FVE!$D$54+FVE!$F$54),(J3+'Bateriová úložiště'!$D$53))&gt;=(FVE!$D$54+FVE!$F$54),""))))))</f>
        <v/>
      </c>
      <c r="G4" s="162"/>
      <c r="H4" s="24">
        <f>IF(OR(D4&lt;3,D4&gt;5000,$I$53&lt;0.1*(FVE!$D$54+FVE!$F$54),'Bateriová úložiště'!$D$53&gt;=(FVE!$D$54+FVE!$F$54)),0,IF(AND(D4&lt;=200,J4&lt;=0.6*(FVE!$D$54+FVE!$F$54),(J4+'Bateriová úložiště'!$D$53)&lt;=(FVE!$D$54+FVE!$F$54)),(1754822.82*D4^0.69),IF(AND(D4&lt;=200,(J4-0.6*(FVE!$D$54+FVE!$F$54))&gt;(J4+'Bateriová úložiště'!$D$53-(FVE!$D$54+FVE!$F$54)),(0.6*(FVE!$D$54+FVE!$F$54)-J3)&gt;0),1754822.82*(((0.6*(FVE!$D$54+FVE!$F$54)-J3)/6.2807)^(1/0.959))^0.69,IF(AND(D4&lt;=200,(J4-0.6*(FVE!$D$54+FVE!$F$54))&lt;=(J4+'Bateriová úložiště'!$D$53-(FVE!$D$54+FVE!$F$54)),((FVE!$D$54+FVE!$F$54)-'Bateriová úložiště'!$D$53-J3)&gt;0),1754822.82*(((J4-(J4+'Bateriová úložiště'!$D$53-(FVE!$D$54+FVE!$F$54))-J3)/6.2807)^(1/0.959))^0.69,IF(AND(D4&gt;200,J4&lt;=0.6*(FVE!$D$54+FVE!$F$54),(J4+'Bateriová úložiště'!$D$53)&lt;=(FVE!$D$54+FVE!$F$54)),(1559103.03*D4^0.71),IF(AND(D4&gt;200,(J4-0.6*(FVE!$D$54+FVE!$F$54))&gt;(J4+'Bateriová úložiště'!$D$53-(FVE!$D$54+FVE!$F$54)),(0.6*(FVE!$D$54+FVE!$F$54)-J3)&gt;0),1559103.03*((((0.6*(FVE!$D$54+FVE!$F$54)-J3))/6.2807)^(1/0.959))^0.71,IF(AND(D4&gt;200,(J4-0.6*(FVE!$D$54+FVE!$F$54))&lt;=(J4+'Bateriová úložiště'!$D$53-(FVE!$D$54+FVE!$F$54)),((FVE!$D$54+FVE!$F$54)-'Bateriová úložiště'!$D$53-J3)&gt;0),1559103.03*(((J4-(J4+'Bateriová úložiště'!$D$53-(FVE!$D$54+FVE!$F$54))-J3)/6.2807)^(1/0.959))^0.71,0)))))))</f>
        <v>0</v>
      </c>
      <c r="I4" s="24">
        <f>6.2807*D4^0.959</f>
        <v>0</v>
      </c>
      <c r="J4" s="24">
        <f>SUM($I$3:I4)</f>
        <v>0</v>
      </c>
      <c r="K4" s="24"/>
      <c r="L4" s="24" t="e">
        <f t="shared" ref="L4:L52" si="0">6.2807*ABS(F4)^0.959</f>
        <v>#VALUE!</v>
      </c>
      <c r="M4" s="24" t="e">
        <f>6.2807*(SUM(ABS($F$3:F4))^0.959)</f>
        <v>#VALUE!</v>
      </c>
      <c r="N4" s="14">
        <f>(I4/6.2807)^(1/0.959)</f>
        <v>0</v>
      </c>
      <c r="O4" s="24" t="e">
        <f t="shared" ref="O4:O6" si="1">(L4/6.2807)^(1/0.959)</f>
        <v>#VALUE!</v>
      </c>
      <c r="P4" s="24">
        <f>(J4/6.2807)^(1/0.959)</f>
        <v>0</v>
      </c>
      <c r="Q4" s="100" t="e">
        <f>J4/(FVE!$D$54+FVE!$F$54)</f>
        <v>#DIV/0!</v>
      </c>
      <c r="R4" s="24">
        <f>0.6*(FVE!$D$54+FVE!$F$54)-J3</f>
        <v>0</v>
      </c>
      <c r="S4" s="24">
        <f>(FVE!$D$54+FVE!$F$54)-'Bateriová úložiště'!$D$53-J3</f>
        <v>0</v>
      </c>
      <c r="T4" s="24">
        <f>(R4/6.2807)^(1/0.959)</f>
        <v>0</v>
      </c>
      <c r="U4" s="24">
        <f t="shared" ref="U4:U5" si="2">(S4/6.2807)^(1/0.959)</f>
        <v>0</v>
      </c>
    </row>
    <row r="5" spans="1:21" ht="16.5" thickTop="1" thickBot="1" x14ac:dyDescent="0.3">
      <c r="A5" s="159"/>
      <c r="B5" s="91"/>
      <c r="C5" s="5"/>
      <c r="D5" s="95"/>
      <c r="E5" s="76"/>
      <c r="F5" s="77" t="str">
        <f>IF(OR(AND(D5&gt;0.0001,D5&lt;3),D5&gt;5000),"MIMO POVOLENÝ ROZSAH",IF(AND('Bateriová úložiště'!$D$53&lt;(FVE!$D$54+FVE!$F$54),J5&lt;0.1*(FVE!$D$54+FVE!$F$54)),-((ABS(J5-0.1*(FVE!$D$54+FVE!$F$54))/6.2807)^(1/0.959)),IF(AND('Bateriová úložiště'!$D$53&lt;(FVE!$D$54+FVE!$F$54),J5&gt;=0.1*(FVE!$D$54+FVE!$F$54),J5&lt;=0.6*(FVE!$D$54+FVE!$F$54),(J5+'Bateriová úložiště'!$D$53)&lt;(FVE!$D$54+FVE!$F$54),(J5-0.6*(FVE!$D$54+FVE!$F$54))&lt;(J5+'Bateriová úložiště'!$D$53-(FVE!$D$54+FVE!$F$54))),(((FVE!$D$54+FVE!$F$54)-(J5+'Bateriová úložiště'!$D$53))/6.2807)^(1/0.959),IF(AND('Bateriová úložiště'!$D$53&lt;(FVE!$D$54+FVE!$F$54),J5&gt;=0.1*(FVE!$D$54+FVE!$F$54),J5&lt;=0.6*(FVE!$D$54+FVE!$F$54),(J5+'Bateriová úložiště'!$D$53)&lt;(FVE!$D$54+FVE!$F$54),(J5-0.6*(FVE!$D$54+FVE!$F$54))&gt;=(J5+'Bateriová úložiště'!$D$53-(FVE!$D$54+FVE!$F$54))),((0.6*(FVE!$D$54+FVE!$F$54)-J5)/6.2807)^(1/0.959),IF(AND(OR((J5+'Bateriová úložiště'!$D$53)&gt;=(FVE!$D$54+FVE!$F$54),J5&gt;=0.6*(FVE!$D$54+FVE!$F$54)),(J4+'Bateriová úložiště'!$D$53)&lt;(FVE!$D$54+FVE!$F$54),J4&lt;0.6*(FVE!$D$54+FVE!$F$54)),"MAX. DOTACE BYLA DOSAŽENA (100% VÝKONU FVE) - DALŠÍ VÝDAJE JSOU NEZPŮSOBILÉ",IF(OR(J4&gt;=0.6*(FVE!$D$54+FVE!$F$54),(J4+'Bateriová úložiště'!$D$53))&gt;=(FVE!$D$54+FVE!$F$54),""))))))</f>
        <v/>
      </c>
      <c r="G5" s="162"/>
      <c r="H5" s="24">
        <f>IF(OR(D5&lt;3,D5&gt;5000,$I$53&lt;0.1*(FVE!$D$54+FVE!$F$54),'Bateriová úložiště'!$D$53&gt;=(FVE!$D$54+FVE!$F$54)),0,IF(AND(D5&lt;=200,J5&lt;=0.6*(FVE!$D$54+FVE!$F$54),(J5+'Bateriová úložiště'!$D$53)&lt;=(FVE!$D$54+FVE!$F$54)),(1754822.82*D5^0.69),IF(AND(D5&lt;=200,(J5-0.6*(FVE!$D$54+FVE!$F$54))&gt;(J5+'Bateriová úložiště'!$D$53-(FVE!$D$54+FVE!$F$54)),(0.6*(FVE!$D$54+FVE!$F$54)-J4)&gt;0),1754822.82*(((0.6*(FVE!$D$54+FVE!$F$54)-J4)/6.2807)^(1/0.959))^0.69,IF(AND(D5&lt;=200,(J5-0.6*(FVE!$D$54+FVE!$F$54))&lt;=(J5+'Bateriová úložiště'!$D$53-(FVE!$D$54+FVE!$F$54)),((FVE!$D$54+FVE!$F$54)-'Bateriová úložiště'!$D$53-J4)&gt;0),1754822.82*(((J5-(J5+'Bateriová úložiště'!$D$53-(FVE!$D$54+FVE!$F$54))-J4)/6.2807)^(1/0.959))^0.69,IF(AND(D5&gt;200,J5&lt;=0.6*(FVE!$D$54+FVE!$F$54),(J5+'Bateriová úložiště'!$D$53)&lt;=(FVE!$D$54+FVE!$F$54)),(1559103.03*D5^0.71),IF(AND(D5&gt;200,(J5-0.6*(FVE!$D$54+FVE!$F$54))&gt;(J5+'Bateriová úložiště'!$D$53-(FVE!$D$54+FVE!$F$54)),(0.6*(FVE!$D$54+FVE!$F$54)-J4)&gt;0),1559103.03*((((0.6*(FVE!$D$54+FVE!$F$54)-J4))/6.2807)^(1/0.959))^0.71,IF(AND(D5&gt;200,(J5-0.6*(FVE!$D$54+FVE!$F$54))&lt;=(J5+'Bateriová úložiště'!$D$53-(FVE!$D$54+FVE!$F$54)),((FVE!$D$54+FVE!$F$54)-'Bateriová úložiště'!$D$53-J4)&gt;0),1559103.03*(((J5-(J5+'Bateriová úložiště'!$D$53-(FVE!$D$54+FVE!$F$54))-J4)/6.2807)^(1/0.959))^0.71,0)))))))</f>
        <v>0</v>
      </c>
      <c r="I5" s="24">
        <f>6.2807*D5^0.959</f>
        <v>0</v>
      </c>
      <c r="J5" s="24">
        <f>SUM($I$3:I5)</f>
        <v>0</v>
      </c>
      <c r="K5" s="24"/>
      <c r="L5" s="24" t="e">
        <f t="shared" si="0"/>
        <v>#VALUE!</v>
      </c>
      <c r="M5" s="24" t="e">
        <f>6.2807*(SUM(ABS($F$3:F5))^0.959)</f>
        <v>#VALUE!</v>
      </c>
      <c r="N5" s="14">
        <f t="shared" ref="N5:N7" si="3">(I5/6.2807)^(1/0.959)</f>
        <v>0</v>
      </c>
      <c r="O5" s="24" t="e">
        <f t="shared" si="1"/>
        <v>#VALUE!</v>
      </c>
      <c r="P5" s="24">
        <f t="shared" ref="P5:P6" si="4">(J5/6.2807)^(1/0.959)</f>
        <v>0</v>
      </c>
      <c r="Q5" s="100" t="e">
        <f>J5/(FVE!$D$54+FVE!$F$54)</f>
        <v>#DIV/0!</v>
      </c>
      <c r="R5" s="24">
        <f>0.6*(FVE!$D$54+FVE!$F$54)-J4</f>
        <v>0</v>
      </c>
      <c r="S5" s="24">
        <f>(FVE!$D$54+FVE!$F$54)-'Bateriová úložiště'!$D$53-J4</f>
        <v>0</v>
      </c>
      <c r="T5" s="24">
        <f>(R5/6.2807)^(1/0.959)</f>
        <v>0</v>
      </c>
      <c r="U5" s="24">
        <f t="shared" si="2"/>
        <v>0</v>
      </c>
    </row>
    <row r="6" spans="1:21" ht="16.5" thickTop="1" thickBot="1" x14ac:dyDescent="0.3">
      <c r="A6" s="159"/>
      <c r="B6" s="91"/>
      <c r="C6" s="5"/>
      <c r="D6" s="95"/>
      <c r="E6" s="76"/>
      <c r="F6" s="77" t="str">
        <f>IF(OR(AND(D6&gt;0.0001,D6&lt;3),D6&gt;5000),"MIMO POVOLENÝ ROZSAH",IF(AND('Bateriová úložiště'!$D$53&lt;(FVE!$D$54+FVE!$F$54),J6&lt;0.1*(FVE!$D$54+FVE!$F$54)),-((ABS(J6-0.1*(FVE!$D$54+FVE!$F$54))/6.2807)^(1/0.959)),IF(AND('Bateriová úložiště'!$D$53&lt;(FVE!$D$54+FVE!$F$54),J6&gt;=0.1*(FVE!$D$54+FVE!$F$54),J6&lt;=0.6*(FVE!$D$54+FVE!$F$54),(J6+'Bateriová úložiště'!$D$53)&lt;(FVE!$D$54+FVE!$F$54),(J6-0.6*(FVE!$D$54+FVE!$F$54))&lt;(J6+'Bateriová úložiště'!$D$53-(FVE!$D$54+FVE!$F$54))),(((FVE!$D$54+FVE!$F$54)-(J6+'Bateriová úložiště'!$D$53))/6.2807)^(1/0.959),IF(AND('Bateriová úložiště'!$D$53&lt;(FVE!$D$54+FVE!$F$54),J6&gt;=0.1*(FVE!$D$54+FVE!$F$54),J6&lt;=0.6*(FVE!$D$54+FVE!$F$54),(J6+'Bateriová úložiště'!$D$53)&lt;(FVE!$D$54+FVE!$F$54),(J6-0.6*(FVE!$D$54+FVE!$F$54))&gt;=(J6+'Bateriová úložiště'!$D$53-(FVE!$D$54+FVE!$F$54))),((0.6*(FVE!$D$54+FVE!$F$54)-J6)/6.2807)^(1/0.959),IF(AND(OR((J6+'Bateriová úložiště'!$D$53)&gt;=(FVE!$D$54+FVE!$F$54),J6&gt;=0.6*(FVE!$D$54+FVE!$F$54)),(J5+'Bateriová úložiště'!$D$53)&lt;(FVE!$D$54+FVE!$F$54),J5&lt;0.6*(FVE!$D$54+FVE!$F$54)),"MAX. DOTACE BYLA DOSAŽENA (100% VÝKONU FVE) - DALŠÍ VÝDAJE JSOU NEZPŮSOBILÉ",IF(OR(J5&gt;=0.6*(FVE!$D$54+FVE!$F$54),(J5+'Bateriová úložiště'!$D$53))&gt;=(FVE!$D$54+FVE!$F$54),""))))))</f>
        <v/>
      </c>
      <c r="G6" s="162"/>
      <c r="H6" s="24">
        <f>IF(OR(D6&lt;3,D6&gt;5000,$I$53&lt;0.1*(FVE!$D$54+FVE!$F$54),'Bateriová úložiště'!$D$53&gt;=(FVE!$D$54+FVE!$F$54)),0,IF(AND(D6&lt;=200,J6&lt;=0.6*(FVE!$D$54+FVE!$F$54),(J6+'Bateriová úložiště'!$D$53)&lt;=(FVE!$D$54+FVE!$F$54)),(1754822.82*D6^0.69),IF(AND(D6&lt;=200,(J6-0.6*(FVE!$D$54+FVE!$F$54))&gt;(J6+'Bateriová úložiště'!$D$53-(FVE!$D$54+FVE!$F$54)),(0.6*(FVE!$D$54+FVE!$F$54)-J5)&gt;0),1754822.82*(((0.6*(FVE!$D$54+FVE!$F$54)-J5)/6.2807)^(1/0.959))^0.69,IF(AND(D6&lt;=200,(J6-0.6*(FVE!$D$54+FVE!$F$54))&lt;=(J6+'Bateriová úložiště'!$D$53-(FVE!$D$54+FVE!$F$54)),((FVE!$D$54+FVE!$F$54)-'Bateriová úložiště'!$D$53-J5)&gt;0),1754822.82*(((J6-(J6+'Bateriová úložiště'!$D$53-(FVE!$D$54+FVE!$F$54))-J5)/6.2807)^(1/0.959))^0.69,IF(AND(D6&gt;200,J6&lt;=0.6*(FVE!$D$54+FVE!$F$54),(J6+'Bateriová úložiště'!$D$53)&lt;=(FVE!$D$54+FVE!$F$54)),(1559103.03*D6^0.71),IF(AND(D6&gt;200,(J6-0.6*(FVE!$D$54+FVE!$F$54))&gt;(J6+'Bateriová úložiště'!$D$53-(FVE!$D$54+FVE!$F$54)),(0.6*(FVE!$D$54+FVE!$F$54)-J5)&gt;0),1559103.03*((((0.6*(FVE!$D$54+FVE!$F$54)-J5))/6.2807)^(1/0.959))^0.71,IF(AND(D6&gt;200,(J6-0.6*(FVE!$D$54+FVE!$F$54))&lt;=(J6+'Bateriová úložiště'!$D$53-(FVE!$D$54+FVE!$F$54)),((FVE!$D$54+FVE!$F$54)-'Bateriová úložiště'!$D$53-J5)&gt;0),1559103.03*(((J6-(J6+'Bateriová úložiště'!$D$53-(FVE!$D$54+FVE!$F$54))-J5)/6.2807)^(1/0.959))^0.71,0)))))))</f>
        <v>0</v>
      </c>
      <c r="I6" s="24">
        <f t="shared" ref="I6:I52" si="5">6.2807*D6^0.959</f>
        <v>0</v>
      </c>
      <c r="J6" s="24">
        <f>SUM($I$3:I6)</f>
        <v>0</v>
      </c>
      <c r="K6" s="24"/>
      <c r="L6" s="24" t="e">
        <f t="shared" si="0"/>
        <v>#VALUE!</v>
      </c>
      <c r="M6" s="24" t="e">
        <f>6.2807*(SUM(ABS($F$3:F6))^0.959)</f>
        <v>#VALUE!</v>
      </c>
      <c r="N6" s="14">
        <f t="shared" si="3"/>
        <v>0</v>
      </c>
      <c r="O6" s="24" t="e">
        <f t="shared" si="1"/>
        <v>#VALUE!</v>
      </c>
      <c r="P6" s="24">
        <f t="shared" si="4"/>
        <v>0</v>
      </c>
      <c r="Q6" s="100" t="e">
        <f>J6/(FVE!$D$54+FVE!$F$54)</f>
        <v>#DIV/0!</v>
      </c>
      <c r="R6" s="24">
        <f>J3</f>
        <v>0</v>
      </c>
      <c r="S6" s="24">
        <f>(FVE!$D$54+FVE!$F$54)-'Bateriová úložiště'!$D$53-J5</f>
        <v>0</v>
      </c>
      <c r="T6" s="24">
        <f t="shared" ref="T6" si="6">(R6/6.2807)^(1/0.959)</f>
        <v>0</v>
      </c>
      <c r="U6" s="14"/>
    </row>
    <row r="7" spans="1:21" ht="16.5" thickTop="1" thickBot="1" x14ac:dyDescent="0.3">
      <c r="A7" s="159"/>
      <c r="B7" s="91"/>
      <c r="C7" s="5"/>
      <c r="D7" s="95"/>
      <c r="E7" s="76"/>
      <c r="F7" s="77" t="str">
        <f>IF(OR(AND(D7&gt;0.0001,D7&lt;3),D7&gt;5000),"MIMO POVOLENÝ ROZSAH",IF(AND('Bateriová úložiště'!$D$53&lt;(FVE!$D$54+FVE!$F$54),J7&lt;0.1*(FVE!$D$54+FVE!$F$54)),-((ABS(J7-0.1*(FVE!$D$54+FVE!$F$54))/6.2807)^(1/0.959)),IF(AND('Bateriová úložiště'!$D$53&lt;(FVE!$D$54+FVE!$F$54),J7&gt;=0.1*(FVE!$D$54+FVE!$F$54),J7&lt;=0.6*(FVE!$D$54+FVE!$F$54),(J7+'Bateriová úložiště'!$D$53)&lt;(FVE!$D$54+FVE!$F$54),(J7-0.6*(FVE!$D$54+FVE!$F$54))&lt;(J7+'Bateriová úložiště'!$D$53-(FVE!$D$54+FVE!$F$54))),(((FVE!$D$54+FVE!$F$54)-(J7+'Bateriová úložiště'!$D$53))/6.2807)^(1/0.959),IF(AND('Bateriová úložiště'!$D$53&lt;(FVE!$D$54+FVE!$F$54),J7&gt;=0.1*(FVE!$D$54+FVE!$F$54),J7&lt;=0.6*(FVE!$D$54+FVE!$F$54),(J7+'Bateriová úložiště'!$D$53)&lt;(FVE!$D$54+FVE!$F$54),(J7-0.6*(FVE!$D$54+FVE!$F$54))&gt;=(J7+'Bateriová úložiště'!$D$53-(FVE!$D$54+FVE!$F$54))),((0.6*(FVE!$D$54+FVE!$F$54)-J7)/6.2807)^(1/0.959),IF(AND(OR((J7+'Bateriová úložiště'!$D$53)&gt;=(FVE!$D$54+FVE!$F$54),J7&gt;=0.6*(FVE!$D$54+FVE!$F$54)),(J6+'Bateriová úložiště'!$D$53)&lt;(FVE!$D$54+FVE!$F$54),J6&lt;0.6*(FVE!$D$54+FVE!$F$54)),"MAX. DOTACE BYLA DOSAŽENA (100% VÝKONU FVE) - DALŠÍ VÝDAJE JSOU NEZPŮSOBILÉ",IF(OR(J6&gt;=0.6*(FVE!$D$54+FVE!$F$54),(J6+'Bateriová úložiště'!$D$53))&gt;=(FVE!$D$54+FVE!$F$54),""))))))</f>
        <v/>
      </c>
      <c r="G7" s="162"/>
      <c r="H7" s="24">
        <f>IF(OR(D7&lt;3,D7&gt;5000,$I$53&lt;0.1*(FVE!$D$54+FVE!$F$54),'Bateriová úložiště'!$D$53&gt;=(FVE!$D$54+FVE!$F$54)),0,IF(AND(D7&lt;=200,J7&lt;=0.6*(FVE!$D$54+FVE!$F$54),(J7+'Bateriová úložiště'!$D$53)&lt;=(FVE!$D$54+FVE!$F$54)),(1754822.82*D7^0.69),IF(AND(D7&lt;=200,(J7-0.6*(FVE!$D$54+FVE!$F$54))&gt;(J7+'Bateriová úložiště'!$D$53-(FVE!$D$54+FVE!$F$54)),(0.6*(FVE!$D$54+FVE!$F$54)-J6)&gt;0),1754822.82*(((0.6*(FVE!$D$54+FVE!$F$54)-J6)/6.2807)^(1/0.959))^0.69,IF(AND(D7&lt;=200,(J7-0.6*(FVE!$D$54+FVE!$F$54))&lt;=(J7+'Bateriová úložiště'!$D$53-(FVE!$D$54+FVE!$F$54)),((FVE!$D$54+FVE!$F$54)-'Bateriová úložiště'!$D$53-J6)&gt;0),1754822.82*(((J7-(J7+'Bateriová úložiště'!$D$53-(FVE!$D$54+FVE!$F$54))-J6)/6.2807)^(1/0.959))^0.69,IF(AND(D7&gt;200,J7&lt;=0.6*(FVE!$D$54+FVE!$F$54),(J7+'Bateriová úložiště'!$D$53)&lt;=(FVE!$D$54+FVE!$F$54)),(1559103.03*D7^0.71),IF(AND(D7&gt;200,(J7-0.6*(FVE!$D$54+FVE!$F$54))&gt;(J7+'Bateriová úložiště'!$D$53-(FVE!$D$54+FVE!$F$54)),(0.6*(FVE!$D$54+FVE!$F$54)-J6)&gt;0),1559103.03*((((0.6*(FVE!$D$54+FVE!$F$54)-J6))/6.2807)^(1/0.959))^0.71,IF(AND(D7&gt;200,(J7-0.6*(FVE!$D$54+FVE!$F$54))&lt;=(J7+'Bateriová úložiště'!$D$53-(FVE!$D$54+FVE!$F$54)),((FVE!$D$54+FVE!$F$54)-'Bateriová úložiště'!$D$53-J6)&gt;0),1559103.03*(((J7-(J7+'Bateriová úložiště'!$D$53-(FVE!$D$54+FVE!$F$54))-J6)/6.2807)^(1/0.959))^0.71,0)))))))</f>
        <v>0</v>
      </c>
      <c r="I7" s="24">
        <f t="shared" si="5"/>
        <v>0</v>
      </c>
      <c r="J7" s="24">
        <f>SUM($I$3:I7)</f>
        <v>0</v>
      </c>
      <c r="K7" s="24"/>
      <c r="L7" s="24" t="e">
        <f>6.2807*ABS(F7)^0.959</f>
        <v>#VALUE!</v>
      </c>
      <c r="M7" s="24" t="e">
        <f>6.2807*(SUM(ABS($F$3:F7))^0.959)</f>
        <v>#VALUE!</v>
      </c>
      <c r="N7" s="14">
        <f t="shared" si="3"/>
        <v>0</v>
      </c>
      <c r="O7" s="24"/>
      <c r="P7" s="24">
        <f>(J7/6.2807)^(1/0.959)</f>
        <v>0</v>
      </c>
      <c r="Q7" s="100" t="e">
        <f>J7/(FVE!$D$54+FVE!$F$54)</f>
        <v>#DIV/0!</v>
      </c>
      <c r="R7" s="24">
        <v>2000</v>
      </c>
      <c r="S7" s="24">
        <f>(FVE!$D$54+FVE!$F$54)-'Bateriová úložiště'!$D$53-J6</f>
        <v>0</v>
      </c>
      <c r="T7" s="24">
        <f>(R7/6.2807)^(1/0.959)</f>
        <v>407.41152638348672</v>
      </c>
      <c r="U7" s="14"/>
    </row>
    <row r="8" spans="1:21" ht="16.5" thickTop="1" thickBot="1" x14ac:dyDescent="0.3">
      <c r="A8" s="159"/>
      <c r="B8" s="91"/>
      <c r="C8" s="5"/>
      <c r="D8" s="95"/>
      <c r="E8" s="76"/>
      <c r="F8" s="77" t="str">
        <f>IF(OR(AND(D8&gt;0.0001,D8&lt;3),D8&gt;5000),"MIMO POVOLENÝ ROZSAH",IF(AND('Bateriová úložiště'!$D$53&lt;(FVE!$D$54+FVE!$F$54),J8&lt;0.1*(FVE!$D$54+FVE!$F$54)),-((ABS(J8-0.1*(FVE!$D$54+FVE!$F$54))/6.2807)^(1/0.959)),IF(AND('Bateriová úložiště'!$D$53&lt;(FVE!$D$54+FVE!$F$54),J8&gt;=0.1*(FVE!$D$54+FVE!$F$54),J8&lt;=0.6*(FVE!$D$54+FVE!$F$54),(J8+'Bateriová úložiště'!$D$53)&lt;(FVE!$D$54+FVE!$F$54),(J8-0.6*(FVE!$D$54+FVE!$F$54))&lt;(J8+'Bateriová úložiště'!$D$53-(FVE!$D$54+FVE!$F$54))),(((FVE!$D$54+FVE!$F$54)-(J8+'Bateriová úložiště'!$D$53))/6.2807)^(1/0.959),IF(AND('Bateriová úložiště'!$D$53&lt;(FVE!$D$54+FVE!$F$54),J8&gt;=0.1*(FVE!$D$54+FVE!$F$54),J8&lt;=0.6*(FVE!$D$54+FVE!$F$54),(J8+'Bateriová úložiště'!$D$53)&lt;(FVE!$D$54+FVE!$F$54),(J8-0.6*(FVE!$D$54+FVE!$F$54))&gt;=(J8+'Bateriová úložiště'!$D$53-(FVE!$D$54+FVE!$F$54))),((0.6*(FVE!$D$54+FVE!$F$54)-J8)/6.2807)^(1/0.959),IF(AND(OR((J8+'Bateriová úložiště'!$D$53)&gt;=(FVE!$D$54+FVE!$F$54),J8&gt;=0.6*(FVE!$D$54+FVE!$F$54)),(J7+'Bateriová úložiště'!$D$53)&lt;(FVE!$D$54+FVE!$F$54),J7&lt;0.6*(FVE!$D$54+FVE!$F$54)),"MAX. DOTACE BYLA DOSAŽENA (100% VÝKONU FVE) - DALŠÍ VÝDAJE JSOU NEZPŮSOBILÉ",IF(OR(J7&gt;=0.6*(FVE!$D$54+FVE!$F$54),(J7+'Bateriová úložiště'!$D$53))&gt;=(FVE!$D$54+FVE!$F$54),""))))))</f>
        <v/>
      </c>
      <c r="G8" s="162"/>
      <c r="H8" s="24">
        <f>IF(OR(D8&lt;3,D8&gt;5000,$I$53&lt;0.1*(FVE!$D$54+FVE!$F$54),'Bateriová úložiště'!$D$53&gt;=(FVE!$D$54+FVE!$F$54)),0,IF(AND(D8&lt;=200,J8&lt;=0.6*(FVE!$D$54+FVE!$F$54),(J8+'Bateriová úložiště'!$D$53)&lt;=(FVE!$D$54+FVE!$F$54)),(1754822.82*D8^0.69),IF(AND(D8&lt;=200,(J8-0.6*(FVE!$D$54+FVE!$F$54))&gt;(J8+'Bateriová úložiště'!$D$53-(FVE!$D$54+FVE!$F$54)),(0.6*(FVE!$D$54+FVE!$F$54)-J7)&gt;0),1754822.82*(((0.6*(FVE!$D$54+FVE!$F$54)-J7)/6.2807)^(1/0.959))^0.69,IF(AND(D8&lt;=200,(J8-0.6*(FVE!$D$54+FVE!$F$54))&lt;=(J8+'Bateriová úložiště'!$D$53-(FVE!$D$54+FVE!$F$54)),((FVE!$D$54+FVE!$F$54)-'Bateriová úložiště'!$D$53-J7)&gt;0),1754822.82*(((J8-(J8+'Bateriová úložiště'!$D$53-(FVE!$D$54+FVE!$F$54))-J7)/6.2807)^(1/0.959))^0.69,IF(AND(D8&gt;200,J8&lt;=0.6*(FVE!$D$54+FVE!$F$54),(J8+'Bateriová úložiště'!$D$53)&lt;=(FVE!$D$54+FVE!$F$54)),(1559103.03*D8^0.71),IF(AND(D8&gt;200,(J8-0.6*(FVE!$D$54+FVE!$F$54))&gt;(J8+'Bateriová úložiště'!$D$53-(FVE!$D$54+FVE!$F$54)),(0.6*(FVE!$D$54+FVE!$F$54)-J7)&gt;0),1559103.03*((((0.6*(FVE!$D$54+FVE!$F$54)-J7))/6.2807)^(1/0.959))^0.71,IF(AND(D8&gt;200,(J8-0.6*(FVE!$D$54+FVE!$F$54))&lt;=(J8+'Bateriová úložiště'!$D$53-(FVE!$D$54+FVE!$F$54)),((FVE!$D$54+FVE!$F$54)-'Bateriová úložiště'!$D$53-J7)&gt;0),1559103.03*(((J8-(J8+'Bateriová úložiště'!$D$53-(FVE!$D$54+FVE!$F$54))-J7)/6.2807)^(1/0.959))^0.71,0)))))))</f>
        <v>0</v>
      </c>
      <c r="I8" s="24">
        <f t="shared" si="5"/>
        <v>0</v>
      </c>
      <c r="J8" s="24">
        <f>SUM($I$3:I8)</f>
        <v>0</v>
      </c>
      <c r="K8" s="24"/>
      <c r="L8" s="24" t="e">
        <f t="shared" si="0"/>
        <v>#VALUE!</v>
      </c>
      <c r="M8" s="24" t="e">
        <f>6.2807*(SUM(ABS($F$3:F8))^0.959)</f>
        <v>#VALUE!</v>
      </c>
      <c r="N8" s="14"/>
      <c r="O8" s="24"/>
      <c r="P8" s="14"/>
      <c r="Q8" s="14"/>
      <c r="R8" s="14"/>
      <c r="S8" s="14"/>
      <c r="T8" s="14"/>
      <c r="U8" s="14"/>
    </row>
    <row r="9" spans="1:21" ht="16.5" thickTop="1" thickBot="1" x14ac:dyDescent="0.3">
      <c r="A9" s="159"/>
      <c r="B9" s="91"/>
      <c r="C9" s="5"/>
      <c r="D9" s="95"/>
      <c r="E9" s="76"/>
      <c r="F9" s="77" t="str">
        <f>IF(OR(AND(D9&gt;0.0001,D9&lt;3),D9&gt;5000),"MIMO POVOLENÝ ROZSAH",IF(AND('Bateriová úložiště'!$D$53&lt;(FVE!$D$54+FVE!$F$54),J9&lt;0.1*(FVE!$D$54+FVE!$F$54)),-((ABS(J9-0.1*(FVE!$D$54+FVE!$F$54))/6.2807)^(1/0.959)),IF(AND('Bateriová úložiště'!$D$53&lt;(FVE!$D$54+FVE!$F$54),J9&gt;=0.1*(FVE!$D$54+FVE!$F$54),J9&lt;=0.6*(FVE!$D$54+FVE!$F$54),(J9+'Bateriová úložiště'!$D$53)&lt;(FVE!$D$54+FVE!$F$54),(J9-0.6*(FVE!$D$54+FVE!$F$54))&lt;(J9+'Bateriová úložiště'!$D$53-(FVE!$D$54+FVE!$F$54))),(((FVE!$D$54+FVE!$F$54)-(J9+'Bateriová úložiště'!$D$53))/6.2807)^(1/0.959),IF(AND('Bateriová úložiště'!$D$53&lt;(FVE!$D$54+FVE!$F$54),J9&gt;=0.1*(FVE!$D$54+FVE!$F$54),J9&lt;=0.6*(FVE!$D$54+FVE!$F$54),(J9+'Bateriová úložiště'!$D$53)&lt;(FVE!$D$54+FVE!$F$54),(J9-0.6*(FVE!$D$54+FVE!$F$54))&gt;=(J9+'Bateriová úložiště'!$D$53-(FVE!$D$54+FVE!$F$54))),((0.6*(FVE!$D$54+FVE!$F$54)-J9)/6.2807)^(1/0.959),IF(AND(OR((J9+'Bateriová úložiště'!$D$53)&gt;=(FVE!$D$54+FVE!$F$54),J9&gt;=0.6*(FVE!$D$54+FVE!$F$54)),(J8+'Bateriová úložiště'!$D$53)&lt;(FVE!$D$54+FVE!$F$54),J8&lt;0.6*(FVE!$D$54+FVE!$F$54)),"MAX. DOTACE BYLA DOSAŽENA (100% VÝKONU FVE) - DALŠÍ VÝDAJE JSOU NEZPŮSOBILÉ",IF(OR(J8&gt;=0.6*(FVE!$D$54+FVE!$F$54),(J8+'Bateriová úložiště'!$D$53))&gt;=(FVE!$D$54+FVE!$F$54),""))))))</f>
        <v/>
      </c>
      <c r="G9" s="162"/>
      <c r="H9" s="24">
        <f>IF(OR(D9&lt;3,D9&gt;5000,$I$53&lt;0.1*(FVE!$D$54+FVE!$F$54),'Bateriová úložiště'!$D$53&gt;=(FVE!$D$54+FVE!$F$54)),0,IF(AND(D9&lt;=200,J9&lt;=0.6*(FVE!$D$54+FVE!$F$54),(J9+'Bateriová úložiště'!$D$53)&lt;=(FVE!$D$54+FVE!$F$54)),(1754822.82*D9^0.69),IF(AND(D9&lt;=200,(J9-0.6*(FVE!$D$54+FVE!$F$54))&gt;(J9+'Bateriová úložiště'!$D$53-(FVE!$D$54+FVE!$F$54)),(0.6*(FVE!$D$54+FVE!$F$54)-J8)&gt;0),1754822.82*(((0.6*(FVE!$D$54+FVE!$F$54)-J8)/6.2807)^(1/0.959))^0.69,IF(AND(D9&lt;=200,(J9-0.6*(FVE!$D$54+FVE!$F$54))&lt;=(J9+'Bateriová úložiště'!$D$53-(FVE!$D$54+FVE!$F$54)),((FVE!$D$54+FVE!$F$54)-'Bateriová úložiště'!$D$53-J8)&gt;0),1754822.82*(((J9-(J9+'Bateriová úložiště'!$D$53-(FVE!$D$54+FVE!$F$54))-J8)/6.2807)^(1/0.959))^0.69,IF(AND(D9&gt;200,J9&lt;=0.6*(FVE!$D$54+FVE!$F$54),(J9+'Bateriová úložiště'!$D$53)&lt;=(FVE!$D$54+FVE!$F$54)),(1559103.03*D9^0.71),IF(AND(D9&gt;200,(J9-0.6*(FVE!$D$54+FVE!$F$54))&gt;(J9+'Bateriová úložiště'!$D$53-(FVE!$D$54+FVE!$F$54)),(0.6*(FVE!$D$54+FVE!$F$54)-J8)&gt;0),1559103.03*((((0.6*(FVE!$D$54+FVE!$F$54)-J8))/6.2807)^(1/0.959))^0.71,IF(AND(D9&gt;200,(J9-0.6*(FVE!$D$54+FVE!$F$54))&lt;=(J9+'Bateriová úložiště'!$D$53-(FVE!$D$54+FVE!$F$54)),((FVE!$D$54+FVE!$F$54)-'Bateriová úložiště'!$D$53-J8)&gt;0),1559103.03*(((J9-(J9+'Bateriová úložiště'!$D$53-(FVE!$D$54+FVE!$F$54))-J8)/6.2807)^(1/0.959))^0.71,0)))))))</f>
        <v>0</v>
      </c>
      <c r="I9" s="24">
        <f t="shared" si="5"/>
        <v>0</v>
      </c>
      <c r="J9" s="24">
        <f>SUM($I$3:I9)</f>
        <v>0</v>
      </c>
      <c r="K9" s="24"/>
      <c r="L9" s="24" t="e">
        <f t="shared" si="0"/>
        <v>#VALUE!</v>
      </c>
      <c r="M9" s="24" t="e">
        <f>6.2807*(SUM(ABS($F$3:F9))^0.959)</f>
        <v>#VALUE!</v>
      </c>
      <c r="N9" s="14"/>
      <c r="O9" s="14"/>
      <c r="P9" s="14"/>
      <c r="Q9" s="14"/>
      <c r="R9" s="14"/>
      <c r="S9" s="14"/>
      <c r="T9" s="14"/>
      <c r="U9" s="14"/>
    </row>
    <row r="10" spans="1:21" ht="16.5" thickTop="1" thickBot="1" x14ac:dyDescent="0.3">
      <c r="A10" s="159"/>
      <c r="B10" s="91"/>
      <c r="C10" s="5"/>
      <c r="D10" s="94"/>
      <c r="E10" s="76"/>
      <c r="F10" s="77" t="str">
        <f>IF(OR(AND(D10&gt;0.0001,D10&lt;3),D10&gt;5000),"MIMO POVOLENÝ ROZSAH",IF(AND('Bateriová úložiště'!$D$53&lt;(FVE!$D$54+FVE!$F$54),J10&lt;0.1*(FVE!$D$54+FVE!$F$54)),-((ABS(J10-0.1*(FVE!$D$54+FVE!$F$54))/6.2807)^(1/0.959)),IF(AND('Bateriová úložiště'!$D$53&lt;(FVE!$D$54+FVE!$F$54),J10&gt;=0.1*(FVE!$D$54+FVE!$F$54),J10&lt;=0.6*(FVE!$D$54+FVE!$F$54),(J10+'Bateriová úložiště'!$D$53)&lt;(FVE!$D$54+FVE!$F$54),(J10-0.6*(FVE!$D$54+FVE!$F$54))&lt;(J10+'Bateriová úložiště'!$D$53-(FVE!$D$54+FVE!$F$54))),(((FVE!$D$54+FVE!$F$54)-(J10+'Bateriová úložiště'!$D$53))/6.2807)^(1/0.959),IF(AND('Bateriová úložiště'!$D$53&lt;(FVE!$D$54+FVE!$F$54),J10&gt;=0.1*(FVE!$D$54+FVE!$F$54),J10&lt;=0.6*(FVE!$D$54+FVE!$F$54),(J10+'Bateriová úložiště'!$D$53)&lt;(FVE!$D$54+FVE!$F$54),(J10-0.6*(FVE!$D$54+FVE!$F$54))&gt;=(J10+'Bateriová úložiště'!$D$53-(FVE!$D$54+FVE!$F$54))),((0.6*(FVE!$D$54+FVE!$F$54)-J10)/6.2807)^(1/0.959),IF(AND(OR((J10+'Bateriová úložiště'!$D$53)&gt;=(FVE!$D$54+FVE!$F$54),J10&gt;=0.6*(FVE!$D$54+FVE!$F$54)),(J9+'Bateriová úložiště'!$D$53)&lt;(FVE!$D$54+FVE!$F$54),J9&lt;0.6*(FVE!$D$54+FVE!$F$54)),"MAX. DOTACE BYLA DOSAŽENA (100% VÝKONU FVE) - DALŠÍ VÝDAJE JSOU NEZPŮSOBILÉ",IF(OR(J9&gt;=0.6*(FVE!$D$54+FVE!$F$54),(J9+'Bateriová úložiště'!$D$53))&gt;=(FVE!$D$54+FVE!$F$54),""))))))</f>
        <v/>
      </c>
      <c r="G10" s="162"/>
      <c r="H10" s="24">
        <f>IF(OR(D10&lt;3,D10&gt;5000,$I$53&lt;0.1*(FVE!$D$54+FVE!$F$54),'Bateriová úložiště'!$D$53&gt;=(FVE!$D$54+FVE!$F$54)),0,IF(AND(D10&lt;=200,J10&lt;=0.6*(FVE!$D$54+FVE!$F$54),(J10+'Bateriová úložiště'!$D$53)&lt;=(FVE!$D$54+FVE!$F$54)),(1754822.82*D10^0.69),IF(AND(D10&lt;=200,(J10-0.6*(FVE!$D$54+FVE!$F$54))&gt;(J10+'Bateriová úložiště'!$D$53-(FVE!$D$54+FVE!$F$54)),(0.6*(FVE!$D$54+FVE!$F$54)-J9)&gt;0),1754822.82*(((0.6*(FVE!$D$54+FVE!$F$54)-J9)/6.2807)^(1/0.959))^0.69,IF(AND(D10&lt;=200,(J10-0.6*(FVE!$D$54+FVE!$F$54))&lt;=(J10+'Bateriová úložiště'!$D$53-(FVE!$D$54+FVE!$F$54)),((FVE!$D$54+FVE!$F$54)-'Bateriová úložiště'!$D$53-J9)&gt;0),1754822.82*(((J10-(J10+'Bateriová úložiště'!$D$53-(FVE!$D$54+FVE!$F$54))-J9)/6.2807)^(1/0.959))^0.69,IF(AND(D10&gt;200,J10&lt;=0.6*(FVE!$D$54+FVE!$F$54),(J10+'Bateriová úložiště'!$D$53)&lt;=(FVE!$D$54+FVE!$F$54)),(1559103.03*D10^0.71),IF(AND(D10&gt;200,(J10-0.6*(FVE!$D$54+FVE!$F$54))&gt;(J10+'Bateriová úložiště'!$D$53-(FVE!$D$54+FVE!$F$54)),(0.6*(FVE!$D$54+FVE!$F$54)-J9)&gt;0),1559103.03*((((0.6*(FVE!$D$54+FVE!$F$54)-J9))/6.2807)^(1/0.959))^0.71,IF(AND(D10&gt;200,(J10-0.6*(FVE!$D$54+FVE!$F$54))&lt;=(J10+'Bateriová úložiště'!$D$53-(FVE!$D$54+FVE!$F$54)),((FVE!$D$54+FVE!$F$54)-'Bateriová úložiště'!$D$53-J9)&gt;0),1559103.03*(((J10-(J10+'Bateriová úložiště'!$D$53-(FVE!$D$54+FVE!$F$54))-J9)/6.2807)^(1/0.959))^0.71,0)))))))</f>
        <v>0</v>
      </c>
      <c r="I10" s="24">
        <f t="shared" si="5"/>
        <v>0</v>
      </c>
      <c r="J10" s="24">
        <f>SUM($I$3:I10)</f>
        <v>0</v>
      </c>
      <c r="K10" s="24"/>
      <c r="L10" s="24" t="e">
        <f t="shared" si="0"/>
        <v>#VALUE!</v>
      </c>
      <c r="M10" s="24" t="e">
        <f>6.2807*(SUM(ABS($F$3:F10))^0.959)</f>
        <v>#VALUE!</v>
      </c>
      <c r="N10" s="14"/>
      <c r="O10" s="14"/>
      <c r="P10" s="14"/>
      <c r="Q10" s="14"/>
      <c r="R10" s="14"/>
      <c r="S10" s="14"/>
      <c r="T10" s="14"/>
      <c r="U10" s="14"/>
    </row>
    <row r="11" spans="1:21" ht="16.5" thickTop="1" thickBot="1" x14ac:dyDescent="0.3">
      <c r="A11" s="159"/>
      <c r="B11" s="91"/>
      <c r="C11" s="5"/>
      <c r="D11" s="95"/>
      <c r="E11" s="76"/>
      <c r="F11" s="77" t="str">
        <f>IF(OR(AND(D11&gt;0.0001,D11&lt;3),D11&gt;5000),"MIMO POVOLENÝ ROZSAH",IF(AND('Bateriová úložiště'!$D$53&lt;(FVE!$D$54+FVE!$F$54),J11&lt;0.1*(FVE!$D$54+FVE!$F$54)),-((ABS(J11-0.1*(FVE!$D$54+FVE!$F$54))/6.2807)^(1/0.959)),IF(AND('Bateriová úložiště'!$D$53&lt;(FVE!$D$54+FVE!$F$54),J11&gt;=0.1*(FVE!$D$54+FVE!$F$54),J11&lt;=0.6*(FVE!$D$54+FVE!$F$54),(J11+'Bateriová úložiště'!$D$53)&lt;(FVE!$D$54+FVE!$F$54),(J11-0.6*(FVE!$D$54+FVE!$F$54))&lt;(J11+'Bateriová úložiště'!$D$53-(FVE!$D$54+FVE!$F$54))),(((FVE!$D$54+FVE!$F$54)-(J11+'Bateriová úložiště'!$D$53))/6.2807)^(1/0.959),IF(AND('Bateriová úložiště'!$D$53&lt;(FVE!$D$54+FVE!$F$54),J11&gt;=0.1*(FVE!$D$54+FVE!$F$54),J11&lt;=0.6*(FVE!$D$54+FVE!$F$54),(J11+'Bateriová úložiště'!$D$53)&lt;(FVE!$D$54+FVE!$F$54),(J11-0.6*(FVE!$D$54+FVE!$F$54))&gt;=(J11+'Bateriová úložiště'!$D$53-(FVE!$D$54+FVE!$F$54))),((0.6*(FVE!$D$54+FVE!$F$54)-J11)/6.2807)^(1/0.959),IF(AND(OR((J11+'Bateriová úložiště'!$D$53)&gt;=(FVE!$D$54+FVE!$F$54),J11&gt;=0.6*(FVE!$D$54+FVE!$F$54)),(J10+'Bateriová úložiště'!$D$53)&lt;(FVE!$D$54+FVE!$F$54),J10&lt;0.6*(FVE!$D$54+FVE!$F$54)),"MAX. DOTACE BYLA DOSAŽENA (100% VÝKONU FVE) - DALŠÍ VÝDAJE JSOU NEZPŮSOBILÉ",IF(OR(J10&gt;=0.6*(FVE!$D$54+FVE!$F$54),(J10+'Bateriová úložiště'!$D$53))&gt;=(FVE!$D$54+FVE!$F$54),""))))))</f>
        <v/>
      </c>
      <c r="G11" s="162"/>
      <c r="H11" s="24">
        <f>IF(OR(D11&lt;3,D11&gt;5000,$I$53&lt;0.1*(FVE!$D$54+FVE!$F$54),'Bateriová úložiště'!$D$53&gt;=(FVE!$D$54+FVE!$F$54)),0,IF(AND(D11&lt;=200,J11&lt;=0.6*(FVE!$D$54+FVE!$F$54),(J11+'Bateriová úložiště'!$D$53)&lt;=(FVE!$D$54+FVE!$F$54)),(1754822.82*D11^0.69),IF(AND(D11&lt;=200,(J11-0.6*(FVE!$D$54+FVE!$F$54))&gt;(J11+'Bateriová úložiště'!$D$53-(FVE!$D$54+FVE!$F$54)),(0.6*(FVE!$D$54+FVE!$F$54)-J10)&gt;0),1754822.82*(((0.6*(FVE!$D$54+FVE!$F$54)-J10)/6.2807)^(1/0.959))^0.69,IF(AND(D11&lt;=200,(J11-0.6*(FVE!$D$54+FVE!$F$54))&lt;=(J11+'Bateriová úložiště'!$D$53-(FVE!$D$54+FVE!$F$54)),((FVE!$D$54+FVE!$F$54)-'Bateriová úložiště'!$D$53-J10)&gt;0),1754822.82*(((J11-(J11+'Bateriová úložiště'!$D$53-(FVE!$D$54+FVE!$F$54))-J10)/6.2807)^(1/0.959))^0.69,IF(AND(D11&gt;200,J11&lt;=0.6*(FVE!$D$54+FVE!$F$54),(J11+'Bateriová úložiště'!$D$53)&lt;=(FVE!$D$54+FVE!$F$54)),(1559103.03*D11^0.71),IF(AND(D11&gt;200,(J11-0.6*(FVE!$D$54+FVE!$F$54))&gt;(J11+'Bateriová úložiště'!$D$53-(FVE!$D$54+FVE!$F$54)),(0.6*(FVE!$D$54+FVE!$F$54)-J10)&gt;0),1559103.03*((((0.6*(FVE!$D$54+FVE!$F$54)-J10))/6.2807)^(1/0.959))^0.71,IF(AND(D11&gt;200,(J11-0.6*(FVE!$D$54+FVE!$F$54))&lt;=(J11+'Bateriová úložiště'!$D$53-(FVE!$D$54+FVE!$F$54)),((FVE!$D$54+FVE!$F$54)-'Bateriová úložiště'!$D$53-J10)&gt;0),1559103.03*(((J11-(J11+'Bateriová úložiště'!$D$53-(FVE!$D$54+FVE!$F$54))-J10)/6.2807)^(1/0.959))^0.71,0)))))))</f>
        <v>0</v>
      </c>
      <c r="I11" s="24">
        <f t="shared" si="5"/>
        <v>0</v>
      </c>
      <c r="J11" s="24">
        <f>SUM($I$3:I11)</f>
        <v>0</v>
      </c>
      <c r="K11" s="24"/>
      <c r="L11" s="24" t="e">
        <f t="shared" si="0"/>
        <v>#VALUE!</v>
      </c>
      <c r="M11" s="24" t="e">
        <f>6.2807*(SUM(ABS($F$3:F11))^0.959)</f>
        <v>#VALUE!</v>
      </c>
      <c r="N11" s="14"/>
      <c r="O11" s="14"/>
      <c r="P11" s="14"/>
      <c r="Q11" s="14"/>
      <c r="R11" s="14"/>
      <c r="S11" s="14"/>
      <c r="T11" s="14"/>
      <c r="U11" s="14"/>
    </row>
    <row r="12" spans="1:21" ht="16.5" thickTop="1" thickBot="1" x14ac:dyDescent="0.3">
      <c r="A12" s="159"/>
      <c r="B12" s="92"/>
      <c r="C12" s="5"/>
      <c r="D12" s="95"/>
      <c r="E12" s="76"/>
      <c r="F12" s="77" t="str">
        <f>IF(OR(AND(D12&gt;0.0001,D12&lt;3),D12&gt;5000),"MIMO POVOLENÝ ROZSAH",IF(AND('Bateriová úložiště'!$D$53&lt;(FVE!$D$54+FVE!$F$54),J12&lt;0.1*(FVE!$D$54+FVE!$F$54)),-((ABS(J12-0.1*(FVE!$D$54+FVE!$F$54))/6.2807)^(1/0.959)),IF(AND('Bateriová úložiště'!$D$53&lt;(FVE!$D$54+FVE!$F$54),J12&gt;=0.1*(FVE!$D$54+FVE!$F$54),J12&lt;=0.6*(FVE!$D$54+FVE!$F$54),(J12+'Bateriová úložiště'!$D$53)&lt;(FVE!$D$54+FVE!$F$54),(J12-0.6*(FVE!$D$54+FVE!$F$54))&lt;(J12+'Bateriová úložiště'!$D$53-(FVE!$D$54+FVE!$F$54))),(((FVE!$D$54+FVE!$F$54)-(J12+'Bateriová úložiště'!$D$53))/6.2807)^(1/0.959),IF(AND('Bateriová úložiště'!$D$53&lt;(FVE!$D$54+FVE!$F$54),J12&gt;=0.1*(FVE!$D$54+FVE!$F$54),J12&lt;=0.6*(FVE!$D$54+FVE!$F$54),(J12+'Bateriová úložiště'!$D$53)&lt;(FVE!$D$54+FVE!$F$54),(J12-0.6*(FVE!$D$54+FVE!$F$54))&gt;=(J12+'Bateriová úložiště'!$D$53-(FVE!$D$54+FVE!$F$54))),((0.6*(FVE!$D$54+FVE!$F$54)-J12)/6.2807)^(1/0.959),IF(AND(OR((J12+'Bateriová úložiště'!$D$53)&gt;=(FVE!$D$54+FVE!$F$54),J12&gt;=0.6*(FVE!$D$54+FVE!$F$54)),(J11+'Bateriová úložiště'!$D$53)&lt;(FVE!$D$54+FVE!$F$54),J11&lt;0.6*(FVE!$D$54+FVE!$F$54)),"MAX. DOTACE BYLA DOSAŽENA (100% VÝKONU FVE) - DALŠÍ VÝDAJE JSOU NEZPŮSOBILÉ",IF(OR(J11&gt;=0.6*(FVE!$D$54+FVE!$F$54),(J11+'Bateriová úložiště'!$D$53))&gt;=(FVE!$D$54+FVE!$F$54),""))))))</f>
        <v/>
      </c>
      <c r="G12" s="162"/>
      <c r="H12" s="24">
        <f>IF(OR(D12&lt;3,D12&gt;5000,$I$53&lt;0.1*(FVE!$D$54+FVE!$F$54),'Bateriová úložiště'!$D$53&gt;=(FVE!$D$54+FVE!$F$54)),0,IF(AND(D12&lt;=200,J12&lt;=0.6*(FVE!$D$54+FVE!$F$54),(J12+'Bateriová úložiště'!$D$53)&lt;=(FVE!$D$54+FVE!$F$54)),(1754822.82*D12^0.69),IF(AND(D12&lt;=200,(J12-0.6*(FVE!$D$54+FVE!$F$54))&gt;(J12+'Bateriová úložiště'!$D$53-(FVE!$D$54+FVE!$F$54)),(0.6*(FVE!$D$54+FVE!$F$54)-J11)&gt;0),1754822.82*(((0.6*(FVE!$D$54+FVE!$F$54)-J11)/6.2807)^(1/0.959))^0.69,IF(AND(D12&lt;=200,(J12-0.6*(FVE!$D$54+FVE!$F$54))&lt;=(J12+'Bateriová úložiště'!$D$53-(FVE!$D$54+FVE!$F$54)),((FVE!$D$54+FVE!$F$54)-'Bateriová úložiště'!$D$53-J11)&gt;0),1754822.82*(((J12-(J12+'Bateriová úložiště'!$D$53-(FVE!$D$54+FVE!$F$54))-J11)/6.2807)^(1/0.959))^0.69,IF(AND(D12&gt;200,J12&lt;=0.6*(FVE!$D$54+FVE!$F$54),(J12+'Bateriová úložiště'!$D$53)&lt;=(FVE!$D$54+FVE!$F$54)),(1559103.03*D12^0.71),IF(AND(D12&gt;200,(J12-0.6*(FVE!$D$54+FVE!$F$54))&gt;(J12+'Bateriová úložiště'!$D$53-(FVE!$D$54+FVE!$F$54)),(0.6*(FVE!$D$54+FVE!$F$54)-J11)&gt;0),1559103.03*((((0.6*(FVE!$D$54+FVE!$F$54)-J11))/6.2807)^(1/0.959))^0.71,IF(AND(D12&gt;200,(J12-0.6*(FVE!$D$54+FVE!$F$54))&lt;=(J12+'Bateriová úložiště'!$D$53-(FVE!$D$54+FVE!$F$54)),((FVE!$D$54+FVE!$F$54)-'Bateriová úložiště'!$D$53-J11)&gt;0),1559103.03*(((J12-(J12+'Bateriová úložiště'!$D$53-(FVE!$D$54+FVE!$F$54))-J11)/6.2807)^(1/0.959))^0.71,0)))))))</f>
        <v>0</v>
      </c>
      <c r="I12" s="24">
        <f t="shared" si="5"/>
        <v>0</v>
      </c>
      <c r="J12" s="24">
        <f>SUM($I$3:I12)</f>
        <v>0</v>
      </c>
      <c r="K12" s="24"/>
      <c r="L12" s="24" t="e">
        <f t="shared" si="0"/>
        <v>#VALUE!</v>
      </c>
      <c r="M12" s="24" t="e">
        <f>6.2807*(SUM(ABS($F$3:F12))^0.959)</f>
        <v>#VALUE!</v>
      </c>
      <c r="N12" s="14"/>
      <c r="O12" s="14"/>
      <c r="P12" s="14"/>
      <c r="Q12" s="14"/>
      <c r="R12" s="14"/>
      <c r="S12" s="14"/>
      <c r="T12" s="14"/>
      <c r="U12" s="14"/>
    </row>
    <row r="13" spans="1:21" ht="16.5" thickTop="1" thickBot="1" x14ac:dyDescent="0.3">
      <c r="A13" s="159"/>
      <c r="B13" s="91"/>
      <c r="C13" s="5"/>
      <c r="D13" s="95"/>
      <c r="E13" s="76"/>
      <c r="F13" s="77" t="str">
        <f>IF(OR(AND(D13&gt;0.0001,D13&lt;3),D13&gt;5000),"MIMO POVOLENÝ ROZSAH",IF(AND('Bateriová úložiště'!$D$53&lt;(FVE!$D$54+FVE!$F$54),J13&lt;0.1*(FVE!$D$54+FVE!$F$54)),-((ABS(J13-0.1*(FVE!$D$54+FVE!$F$54))/6.2807)^(1/0.959)),IF(AND('Bateriová úložiště'!$D$53&lt;(FVE!$D$54+FVE!$F$54),J13&gt;=0.1*(FVE!$D$54+FVE!$F$54),J13&lt;=0.6*(FVE!$D$54+FVE!$F$54),(J13+'Bateriová úložiště'!$D$53)&lt;(FVE!$D$54+FVE!$F$54),(J13-0.6*(FVE!$D$54+FVE!$F$54))&lt;(J13+'Bateriová úložiště'!$D$53-(FVE!$D$54+FVE!$F$54))),(((FVE!$D$54+FVE!$F$54)-(J13+'Bateriová úložiště'!$D$53))/6.2807)^(1/0.959),IF(AND('Bateriová úložiště'!$D$53&lt;(FVE!$D$54+FVE!$F$54),J13&gt;=0.1*(FVE!$D$54+FVE!$F$54),J13&lt;=0.6*(FVE!$D$54+FVE!$F$54),(J13+'Bateriová úložiště'!$D$53)&lt;(FVE!$D$54+FVE!$F$54),(J13-0.6*(FVE!$D$54+FVE!$F$54))&gt;=(J13+'Bateriová úložiště'!$D$53-(FVE!$D$54+FVE!$F$54))),((0.6*(FVE!$D$54+FVE!$F$54)-J13)/6.2807)^(1/0.959),IF(AND(OR((J13+'Bateriová úložiště'!$D$53)&gt;=(FVE!$D$54+FVE!$F$54),J13&gt;=0.6*(FVE!$D$54+FVE!$F$54)),(J12+'Bateriová úložiště'!$D$53)&lt;(FVE!$D$54+FVE!$F$54),J12&lt;0.6*(FVE!$D$54+FVE!$F$54)),"MAX. DOTACE BYLA DOSAŽENA (100% VÝKONU FVE) - DALŠÍ VÝDAJE JSOU NEZPŮSOBILÉ",IF(OR(J12&gt;=0.6*(FVE!$D$54+FVE!$F$54),(J12+'Bateriová úložiště'!$D$53))&gt;=(FVE!$D$54+FVE!$F$54),""))))))</f>
        <v/>
      </c>
      <c r="G13" s="162"/>
      <c r="H13" s="24">
        <f>IF(OR(D13&lt;3,D13&gt;5000,$I$53&lt;0.1*(FVE!$D$54+FVE!$F$54),'Bateriová úložiště'!$D$53&gt;=(FVE!$D$54+FVE!$F$54)),0,IF(AND(D13&lt;=200,J13&lt;=0.6*(FVE!$D$54+FVE!$F$54),(J13+'Bateriová úložiště'!$D$53)&lt;=(FVE!$D$54+FVE!$F$54)),(1754822.82*D13^0.69),IF(AND(D13&lt;=200,(J13-0.6*(FVE!$D$54+FVE!$F$54))&gt;(J13+'Bateriová úložiště'!$D$53-(FVE!$D$54+FVE!$F$54)),(0.6*(FVE!$D$54+FVE!$F$54)-J12)&gt;0),1754822.82*(((0.6*(FVE!$D$54+FVE!$F$54)-J12)/6.2807)^(1/0.959))^0.69,IF(AND(D13&lt;=200,(J13-0.6*(FVE!$D$54+FVE!$F$54))&lt;=(J13+'Bateriová úložiště'!$D$53-(FVE!$D$54+FVE!$F$54)),((FVE!$D$54+FVE!$F$54)-'Bateriová úložiště'!$D$53-J12)&gt;0),1754822.82*(((J13-(J13+'Bateriová úložiště'!$D$53-(FVE!$D$54+FVE!$F$54))-J12)/6.2807)^(1/0.959))^0.69,IF(AND(D13&gt;200,J13&lt;=0.6*(FVE!$D$54+FVE!$F$54),(J13+'Bateriová úložiště'!$D$53)&lt;=(FVE!$D$54+FVE!$F$54)),(1559103.03*D13^0.71),IF(AND(D13&gt;200,(J13-0.6*(FVE!$D$54+FVE!$F$54))&gt;(J13+'Bateriová úložiště'!$D$53-(FVE!$D$54+FVE!$F$54)),(0.6*(FVE!$D$54+FVE!$F$54)-J12)&gt;0),1559103.03*((((0.6*(FVE!$D$54+FVE!$F$54)-J12))/6.2807)^(1/0.959))^0.71,IF(AND(D13&gt;200,(J13-0.6*(FVE!$D$54+FVE!$F$54))&lt;=(J13+'Bateriová úložiště'!$D$53-(FVE!$D$54+FVE!$F$54)),((FVE!$D$54+FVE!$F$54)-'Bateriová úložiště'!$D$53-J12)&gt;0),1559103.03*(((J13-(J13+'Bateriová úložiště'!$D$53-(FVE!$D$54+FVE!$F$54))-J12)/6.2807)^(1/0.959))^0.71,0)))))))</f>
        <v>0</v>
      </c>
      <c r="I13" s="24">
        <f t="shared" si="5"/>
        <v>0</v>
      </c>
      <c r="J13" s="24">
        <f>SUM($I$3:I13)</f>
        <v>0</v>
      </c>
      <c r="K13" s="24"/>
      <c r="L13" s="24" t="e">
        <f t="shared" si="0"/>
        <v>#VALUE!</v>
      </c>
      <c r="M13" s="24" t="e">
        <f>6.2807*(SUM(ABS($F$3:F13))^0.959)</f>
        <v>#VALUE!</v>
      </c>
      <c r="N13" s="14"/>
      <c r="O13" s="14"/>
      <c r="P13" s="14"/>
      <c r="Q13" s="14"/>
      <c r="R13" s="14"/>
      <c r="S13" s="14"/>
      <c r="T13" s="14"/>
      <c r="U13" s="14"/>
    </row>
    <row r="14" spans="1:21" ht="16.5" thickTop="1" thickBot="1" x14ac:dyDescent="0.3">
      <c r="A14" s="159"/>
      <c r="B14" s="91"/>
      <c r="C14" s="5"/>
      <c r="D14" s="95"/>
      <c r="E14" s="76"/>
      <c r="F14" s="77" t="str">
        <f>IF(OR(AND(D14&gt;0.0001,D14&lt;3),D14&gt;5000),"MIMO POVOLENÝ ROZSAH",IF(AND('Bateriová úložiště'!$D$53&lt;(FVE!$D$54+FVE!$F$54),J14&lt;0.1*(FVE!$D$54+FVE!$F$54)),-((ABS(J14-0.1*(FVE!$D$54+FVE!$F$54))/6.2807)^(1/0.959)),IF(AND('Bateriová úložiště'!$D$53&lt;(FVE!$D$54+FVE!$F$54),J14&gt;=0.1*(FVE!$D$54+FVE!$F$54),J14&lt;=0.6*(FVE!$D$54+FVE!$F$54),(J14+'Bateriová úložiště'!$D$53)&lt;(FVE!$D$54+FVE!$F$54),(J14-0.6*(FVE!$D$54+FVE!$F$54))&lt;(J14+'Bateriová úložiště'!$D$53-(FVE!$D$54+FVE!$F$54))),(((FVE!$D$54+FVE!$F$54)-(J14+'Bateriová úložiště'!$D$53))/6.2807)^(1/0.959),IF(AND('Bateriová úložiště'!$D$53&lt;(FVE!$D$54+FVE!$F$54),J14&gt;=0.1*(FVE!$D$54+FVE!$F$54),J14&lt;=0.6*(FVE!$D$54+FVE!$F$54),(J14+'Bateriová úložiště'!$D$53)&lt;(FVE!$D$54+FVE!$F$54),(J14-0.6*(FVE!$D$54+FVE!$F$54))&gt;=(J14+'Bateriová úložiště'!$D$53-(FVE!$D$54+FVE!$F$54))),((0.6*(FVE!$D$54+FVE!$F$54)-J14)/6.2807)^(1/0.959),IF(AND(OR((J14+'Bateriová úložiště'!$D$53)&gt;=(FVE!$D$54+FVE!$F$54),J14&gt;=0.6*(FVE!$D$54+FVE!$F$54)),(J13+'Bateriová úložiště'!$D$53)&lt;(FVE!$D$54+FVE!$F$54),J13&lt;0.6*(FVE!$D$54+FVE!$F$54)),"MAX. DOTACE BYLA DOSAŽENA (100% VÝKONU FVE) - DALŠÍ VÝDAJE JSOU NEZPŮSOBILÉ",IF(OR(J13&gt;=0.6*(FVE!$D$54+FVE!$F$54),(J13+'Bateriová úložiště'!$D$53))&gt;=(FVE!$D$54+FVE!$F$54),""))))))</f>
        <v/>
      </c>
      <c r="G14" s="162"/>
      <c r="H14" s="24">
        <f>IF(OR(D14&lt;3,D14&gt;5000,$I$53&lt;0.1*(FVE!$D$54+FVE!$F$54),'Bateriová úložiště'!$D$53&gt;=(FVE!$D$54+FVE!$F$54)),0,IF(AND(D14&lt;=200,J14&lt;=0.6*(FVE!$D$54+FVE!$F$54),(J14+'Bateriová úložiště'!$D$53)&lt;=(FVE!$D$54+FVE!$F$54)),(1754822.82*D14^0.69),IF(AND(D14&lt;=200,(J14-0.6*(FVE!$D$54+FVE!$F$54))&gt;(J14+'Bateriová úložiště'!$D$53-(FVE!$D$54+FVE!$F$54)),(0.6*(FVE!$D$54+FVE!$F$54)-J13)&gt;0),1754822.82*(((0.6*(FVE!$D$54+FVE!$F$54)-J13)/6.2807)^(1/0.959))^0.69,IF(AND(D14&lt;=200,(J14-0.6*(FVE!$D$54+FVE!$F$54))&lt;=(J14+'Bateriová úložiště'!$D$53-(FVE!$D$54+FVE!$F$54)),((FVE!$D$54+FVE!$F$54)-'Bateriová úložiště'!$D$53-J13)&gt;0),1754822.82*(((J14-(J14+'Bateriová úložiště'!$D$53-(FVE!$D$54+FVE!$F$54))-J13)/6.2807)^(1/0.959))^0.69,IF(AND(D14&gt;200,J14&lt;=0.6*(FVE!$D$54+FVE!$F$54),(J14+'Bateriová úložiště'!$D$53)&lt;=(FVE!$D$54+FVE!$F$54)),(1559103.03*D14^0.71),IF(AND(D14&gt;200,(J14-0.6*(FVE!$D$54+FVE!$F$54))&gt;(J14+'Bateriová úložiště'!$D$53-(FVE!$D$54+FVE!$F$54)),(0.6*(FVE!$D$54+FVE!$F$54)-J13)&gt;0),1559103.03*((((0.6*(FVE!$D$54+FVE!$F$54)-J13))/6.2807)^(1/0.959))^0.71,IF(AND(D14&gt;200,(J14-0.6*(FVE!$D$54+FVE!$F$54))&lt;=(J14+'Bateriová úložiště'!$D$53-(FVE!$D$54+FVE!$F$54)),((FVE!$D$54+FVE!$F$54)-'Bateriová úložiště'!$D$53-J13)&gt;0),1559103.03*(((J14-(J14+'Bateriová úložiště'!$D$53-(FVE!$D$54+FVE!$F$54))-J13)/6.2807)^(1/0.959))^0.71,0)))))))</f>
        <v>0</v>
      </c>
      <c r="I14" s="24">
        <f t="shared" si="5"/>
        <v>0</v>
      </c>
      <c r="J14" s="24">
        <f>SUM($I$3:I14)</f>
        <v>0</v>
      </c>
      <c r="K14" s="24"/>
      <c r="L14" s="24" t="e">
        <f t="shared" si="0"/>
        <v>#VALUE!</v>
      </c>
      <c r="M14" s="24" t="e">
        <f>6.2807*(SUM(ABS($F$3:F14))^0.959)</f>
        <v>#VALUE!</v>
      </c>
      <c r="N14" s="14"/>
      <c r="O14" s="14"/>
      <c r="P14" s="14"/>
      <c r="Q14" s="14"/>
      <c r="R14" s="14"/>
      <c r="S14" s="14"/>
      <c r="T14" s="14"/>
      <c r="U14" s="14"/>
    </row>
    <row r="15" spans="1:21" ht="16.5" thickTop="1" thickBot="1" x14ac:dyDescent="0.3">
      <c r="A15" s="159"/>
      <c r="B15" s="91"/>
      <c r="C15" s="5"/>
      <c r="D15" s="95"/>
      <c r="E15" s="76"/>
      <c r="F15" s="77" t="str">
        <f>IF(OR(AND(D15&gt;0.0001,D15&lt;3),D15&gt;5000),"MIMO POVOLENÝ ROZSAH",IF(AND('Bateriová úložiště'!$D$53&lt;(FVE!$D$54+FVE!$F$54),J15&lt;0.1*(FVE!$D$54+FVE!$F$54)),-((ABS(J15-0.1*(FVE!$D$54+FVE!$F$54))/6.2807)^(1/0.959)),IF(AND('Bateriová úložiště'!$D$53&lt;(FVE!$D$54+FVE!$F$54),J15&gt;=0.1*(FVE!$D$54+FVE!$F$54),J15&lt;=0.6*(FVE!$D$54+FVE!$F$54),(J15+'Bateriová úložiště'!$D$53)&lt;(FVE!$D$54+FVE!$F$54),(J15-0.6*(FVE!$D$54+FVE!$F$54))&lt;(J15+'Bateriová úložiště'!$D$53-(FVE!$D$54+FVE!$F$54))),(((FVE!$D$54+FVE!$F$54)-(J15+'Bateriová úložiště'!$D$53))/6.2807)^(1/0.959),IF(AND('Bateriová úložiště'!$D$53&lt;(FVE!$D$54+FVE!$F$54),J15&gt;=0.1*(FVE!$D$54+FVE!$F$54),J15&lt;=0.6*(FVE!$D$54+FVE!$F$54),(J15+'Bateriová úložiště'!$D$53)&lt;(FVE!$D$54+FVE!$F$54),(J15-0.6*(FVE!$D$54+FVE!$F$54))&gt;=(J15+'Bateriová úložiště'!$D$53-(FVE!$D$54+FVE!$F$54))),((0.6*(FVE!$D$54+FVE!$F$54)-J15)/6.2807)^(1/0.959),IF(AND(OR((J15+'Bateriová úložiště'!$D$53)&gt;=(FVE!$D$54+FVE!$F$54),J15&gt;=0.6*(FVE!$D$54+FVE!$F$54)),(J14+'Bateriová úložiště'!$D$53)&lt;(FVE!$D$54+FVE!$F$54),J14&lt;0.6*(FVE!$D$54+FVE!$F$54)),"MAX. DOTACE BYLA DOSAŽENA (100% VÝKONU FVE) - DALŠÍ VÝDAJE JSOU NEZPŮSOBILÉ",IF(OR(J14&gt;=0.6*(FVE!$D$54+FVE!$F$54),(J14+'Bateriová úložiště'!$D$53))&gt;=(FVE!$D$54+FVE!$F$54),""))))))</f>
        <v/>
      </c>
      <c r="G15" s="162"/>
      <c r="H15" s="24">
        <f>IF(OR(D15&lt;3,D15&gt;5000,$I$53&lt;0.1*(FVE!$D$54+FVE!$F$54),'Bateriová úložiště'!$D$53&gt;=(FVE!$D$54+FVE!$F$54)),0,IF(AND(D15&lt;=200,J15&lt;=0.6*(FVE!$D$54+FVE!$F$54),(J15+'Bateriová úložiště'!$D$53)&lt;=(FVE!$D$54+FVE!$F$54)),(1754822.82*D15^0.69),IF(AND(D15&lt;=200,(J15-0.6*(FVE!$D$54+FVE!$F$54))&gt;(J15+'Bateriová úložiště'!$D$53-(FVE!$D$54+FVE!$F$54)),(0.6*(FVE!$D$54+FVE!$F$54)-J14)&gt;0),1754822.82*(((0.6*(FVE!$D$54+FVE!$F$54)-J14)/6.2807)^(1/0.959))^0.69,IF(AND(D15&lt;=200,(J15-0.6*(FVE!$D$54+FVE!$F$54))&lt;=(J15+'Bateriová úložiště'!$D$53-(FVE!$D$54+FVE!$F$54)),((FVE!$D$54+FVE!$F$54)-'Bateriová úložiště'!$D$53-J14)&gt;0),1754822.82*(((J15-(J15+'Bateriová úložiště'!$D$53-(FVE!$D$54+FVE!$F$54))-J14)/6.2807)^(1/0.959))^0.69,IF(AND(D15&gt;200,J15&lt;=0.6*(FVE!$D$54+FVE!$F$54),(J15+'Bateriová úložiště'!$D$53)&lt;=(FVE!$D$54+FVE!$F$54)),(1559103.03*D15^0.71),IF(AND(D15&gt;200,(J15-0.6*(FVE!$D$54+FVE!$F$54))&gt;(J15+'Bateriová úložiště'!$D$53-(FVE!$D$54+FVE!$F$54)),(0.6*(FVE!$D$54+FVE!$F$54)-J14)&gt;0),1559103.03*((((0.6*(FVE!$D$54+FVE!$F$54)-J14))/6.2807)^(1/0.959))^0.71,IF(AND(D15&gt;200,(J15-0.6*(FVE!$D$54+FVE!$F$54))&lt;=(J15+'Bateriová úložiště'!$D$53-(FVE!$D$54+FVE!$F$54)),((FVE!$D$54+FVE!$F$54)-'Bateriová úložiště'!$D$53-J14)&gt;0),1559103.03*(((J15-(J15+'Bateriová úložiště'!$D$53-(FVE!$D$54+FVE!$F$54))-J14)/6.2807)^(1/0.959))^0.71,0)))))))</f>
        <v>0</v>
      </c>
      <c r="I15" s="24">
        <f t="shared" si="5"/>
        <v>0</v>
      </c>
      <c r="J15" s="24">
        <f>SUM($I$3:I15)</f>
        <v>0</v>
      </c>
      <c r="K15" s="24"/>
      <c r="L15" s="24" t="e">
        <f t="shared" si="0"/>
        <v>#VALUE!</v>
      </c>
      <c r="M15" s="24" t="e">
        <f>6.2807*(SUM(ABS($F$3:F15))^0.959)</f>
        <v>#VALUE!</v>
      </c>
      <c r="N15" s="14"/>
      <c r="O15" s="14"/>
      <c r="P15" s="14"/>
      <c r="Q15" s="14"/>
      <c r="R15" s="14"/>
      <c r="S15" s="14"/>
      <c r="T15" s="14"/>
      <c r="U15" s="14"/>
    </row>
    <row r="16" spans="1:21" ht="16.5" thickTop="1" thickBot="1" x14ac:dyDescent="0.3">
      <c r="A16" s="159"/>
      <c r="B16" s="91"/>
      <c r="C16" s="5"/>
      <c r="D16" s="95"/>
      <c r="E16" s="76"/>
      <c r="F16" s="77" t="str">
        <f>IF(OR(AND(D16&gt;0.0001,D16&lt;3),D16&gt;5000),"MIMO POVOLENÝ ROZSAH",IF(AND('Bateriová úložiště'!$D$53&lt;(FVE!$D$54+FVE!$F$54),J16&lt;0.1*(FVE!$D$54+FVE!$F$54)),-((ABS(J16-0.1*(FVE!$D$54+FVE!$F$54))/6.2807)^(1/0.959)),IF(AND('Bateriová úložiště'!$D$53&lt;(FVE!$D$54+FVE!$F$54),J16&gt;=0.1*(FVE!$D$54+FVE!$F$54),J16&lt;=0.6*(FVE!$D$54+FVE!$F$54),(J16+'Bateriová úložiště'!$D$53)&lt;(FVE!$D$54+FVE!$F$54),(J16-0.6*(FVE!$D$54+FVE!$F$54))&lt;(J16+'Bateriová úložiště'!$D$53-(FVE!$D$54+FVE!$F$54))),(((FVE!$D$54+FVE!$F$54)-(J16+'Bateriová úložiště'!$D$53))/6.2807)^(1/0.959),IF(AND('Bateriová úložiště'!$D$53&lt;(FVE!$D$54+FVE!$F$54),J16&gt;=0.1*(FVE!$D$54+FVE!$F$54),J16&lt;=0.6*(FVE!$D$54+FVE!$F$54),(J16+'Bateriová úložiště'!$D$53)&lt;(FVE!$D$54+FVE!$F$54),(J16-0.6*(FVE!$D$54+FVE!$F$54))&gt;=(J16+'Bateriová úložiště'!$D$53-(FVE!$D$54+FVE!$F$54))),((0.6*(FVE!$D$54+FVE!$F$54)-J16)/6.2807)^(1/0.959),IF(AND(OR((J16+'Bateriová úložiště'!$D$53)&gt;=(FVE!$D$54+FVE!$F$54),J16&gt;=0.6*(FVE!$D$54+FVE!$F$54)),(J15+'Bateriová úložiště'!$D$53)&lt;(FVE!$D$54+FVE!$F$54),J15&lt;0.6*(FVE!$D$54+FVE!$F$54)),"MAX. DOTACE BYLA DOSAŽENA (100% VÝKONU FVE) - DALŠÍ VÝDAJE JSOU NEZPŮSOBILÉ",IF(OR(J15&gt;=0.6*(FVE!$D$54+FVE!$F$54),(J15+'Bateriová úložiště'!$D$53))&gt;=(FVE!$D$54+FVE!$F$54),""))))))</f>
        <v/>
      </c>
      <c r="G16" s="162"/>
      <c r="H16" s="24">
        <f>IF(OR(D16&lt;3,D16&gt;5000,$I$53&lt;0.1*(FVE!$D$54+FVE!$F$54),'Bateriová úložiště'!$D$53&gt;=(FVE!$D$54+FVE!$F$54)),0,IF(AND(D16&lt;=200,J16&lt;=0.6*(FVE!$D$54+FVE!$F$54),(J16+'Bateriová úložiště'!$D$53)&lt;=(FVE!$D$54+FVE!$F$54)),(1754822.82*D16^0.69),IF(AND(D16&lt;=200,(J16-0.6*(FVE!$D$54+FVE!$F$54))&gt;(J16+'Bateriová úložiště'!$D$53-(FVE!$D$54+FVE!$F$54)),(0.6*(FVE!$D$54+FVE!$F$54)-J15)&gt;0),1754822.82*(((0.6*(FVE!$D$54+FVE!$F$54)-J15)/6.2807)^(1/0.959))^0.69,IF(AND(D16&lt;=200,(J16-0.6*(FVE!$D$54+FVE!$F$54))&lt;=(J16+'Bateriová úložiště'!$D$53-(FVE!$D$54+FVE!$F$54)),((FVE!$D$54+FVE!$F$54)-'Bateriová úložiště'!$D$53-J15)&gt;0),1754822.82*(((J16-(J16+'Bateriová úložiště'!$D$53-(FVE!$D$54+FVE!$F$54))-J15)/6.2807)^(1/0.959))^0.69,IF(AND(D16&gt;200,J16&lt;=0.6*(FVE!$D$54+FVE!$F$54),(J16+'Bateriová úložiště'!$D$53)&lt;=(FVE!$D$54+FVE!$F$54)),(1559103.03*D16^0.71),IF(AND(D16&gt;200,(J16-0.6*(FVE!$D$54+FVE!$F$54))&gt;(J16+'Bateriová úložiště'!$D$53-(FVE!$D$54+FVE!$F$54)),(0.6*(FVE!$D$54+FVE!$F$54)-J15)&gt;0),1559103.03*((((0.6*(FVE!$D$54+FVE!$F$54)-J15))/6.2807)^(1/0.959))^0.71,IF(AND(D16&gt;200,(J16-0.6*(FVE!$D$54+FVE!$F$54))&lt;=(J16+'Bateriová úložiště'!$D$53-(FVE!$D$54+FVE!$F$54)),((FVE!$D$54+FVE!$F$54)-'Bateriová úložiště'!$D$53-J15)&gt;0),1559103.03*(((J16-(J16+'Bateriová úložiště'!$D$53-(FVE!$D$54+FVE!$F$54))-J15)/6.2807)^(1/0.959))^0.71,0)))))))</f>
        <v>0</v>
      </c>
      <c r="I16" s="24">
        <f t="shared" si="5"/>
        <v>0</v>
      </c>
      <c r="J16" s="24">
        <f>SUM($I$3:I16)</f>
        <v>0</v>
      </c>
      <c r="K16" s="24"/>
      <c r="L16" s="24" t="e">
        <f t="shared" si="0"/>
        <v>#VALUE!</v>
      </c>
      <c r="M16" s="24" t="e">
        <f>6.2807*(SUM(ABS($F$3:F16))^0.959)</f>
        <v>#VALUE!</v>
      </c>
      <c r="N16" s="14"/>
      <c r="O16" s="14"/>
      <c r="P16" s="14"/>
      <c r="Q16" s="14"/>
      <c r="R16" s="14"/>
      <c r="S16" s="14"/>
      <c r="T16" s="14"/>
      <c r="U16" s="14"/>
    </row>
    <row r="17" spans="1:21" ht="16.5" thickTop="1" thickBot="1" x14ac:dyDescent="0.3">
      <c r="A17" s="159"/>
      <c r="B17" s="91"/>
      <c r="C17" s="5"/>
      <c r="D17" s="94"/>
      <c r="E17" s="76"/>
      <c r="F17" s="77" t="str">
        <f>IF(OR(AND(D17&gt;0.0001,D17&lt;3),D17&gt;5000),"MIMO POVOLENÝ ROZSAH",IF(AND('Bateriová úložiště'!$D$53&lt;(FVE!$D$54+FVE!$F$54),J17&lt;0.1*(FVE!$D$54+FVE!$F$54)),-((ABS(J17-0.1*(FVE!$D$54+FVE!$F$54))/6.2807)^(1/0.959)),IF(AND('Bateriová úložiště'!$D$53&lt;(FVE!$D$54+FVE!$F$54),J17&gt;=0.1*(FVE!$D$54+FVE!$F$54),J17&lt;=0.6*(FVE!$D$54+FVE!$F$54),(J17+'Bateriová úložiště'!$D$53)&lt;(FVE!$D$54+FVE!$F$54),(J17-0.6*(FVE!$D$54+FVE!$F$54))&lt;(J17+'Bateriová úložiště'!$D$53-(FVE!$D$54+FVE!$F$54))),(((FVE!$D$54+FVE!$F$54)-(J17+'Bateriová úložiště'!$D$53))/6.2807)^(1/0.959),IF(AND('Bateriová úložiště'!$D$53&lt;(FVE!$D$54+FVE!$F$54),J17&gt;=0.1*(FVE!$D$54+FVE!$F$54),J17&lt;=0.6*(FVE!$D$54+FVE!$F$54),(J17+'Bateriová úložiště'!$D$53)&lt;(FVE!$D$54+FVE!$F$54),(J17-0.6*(FVE!$D$54+FVE!$F$54))&gt;=(J17+'Bateriová úložiště'!$D$53-(FVE!$D$54+FVE!$F$54))),((0.6*(FVE!$D$54+FVE!$F$54)-J17)/6.2807)^(1/0.959),IF(AND(OR((J17+'Bateriová úložiště'!$D$53)&gt;=(FVE!$D$54+FVE!$F$54),J17&gt;=0.6*(FVE!$D$54+FVE!$F$54)),(J16+'Bateriová úložiště'!$D$53)&lt;(FVE!$D$54+FVE!$F$54),J16&lt;0.6*(FVE!$D$54+FVE!$F$54)),"MAX. DOTACE BYLA DOSAŽENA (100% VÝKONU FVE) - DALŠÍ VÝDAJE JSOU NEZPŮSOBILÉ",IF(OR(J16&gt;=0.6*(FVE!$D$54+FVE!$F$54),(J16+'Bateriová úložiště'!$D$53))&gt;=(FVE!$D$54+FVE!$F$54),""))))))</f>
        <v/>
      </c>
      <c r="G17" s="162"/>
      <c r="H17" s="24">
        <f>IF(OR(D17&lt;3,D17&gt;5000,$I$53&lt;0.1*(FVE!$D$54+FVE!$F$54),'Bateriová úložiště'!$D$53&gt;=(FVE!$D$54+FVE!$F$54)),0,IF(AND(D17&lt;=200,J17&lt;=0.6*(FVE!$D$54+FVE!$F$54),(J17+'Bateriová úložiště'!$D$53)&lt;=(FVE!$D$54+FVE!$F$54)),(1754822.82*D17^0.69),IF(AND(D17&lt;=200,(J17-0.6*(FVE!$D$54+FVE!$F$54))&gt;(J17+'Bateriová úložiště'!$D$53-(FVE!$D$54+FVE!$F$54)),(0.6*(FVE!$D$54+FVE!$F$54)-J16)&gt;0),1754822.82*(((0.6*(FVE!$D$54+FVE!$F$54)-J16)/6.2807)^(1/0.959))^0.69,IF(AND(D17&lt;=200,(J17-0.6*(FVE!$D$54+FVE!$F$54))&lt;=(J17+'Bateriová úložiště'!$D$53-(FVE!$D$54+FVE!$F$54)),((FVE!$D$54+FVE!$F$54)-'Bateriová úložiště'!$D$53-J16)&gt;0),1754822.82*(((J17-(J17+'Bateriová úložiště'!$D$53-(FVE!$D$54+FVE!$F$54))-J16)/6.2807)^(1/0.959))^0.69,IF(AND(D17&gt;200,J17&lt;=0.6*(FVE!$D$54+FVE!$F$54),(J17+'Bateriová úložiště'!$D$53)&lt;=(FVE!$D$54+FVE!$F$54)),(1559103.03*D17^0.71),IF(AND(D17&gt;200,(J17-0.6*(FVE!$D$54+FVE!$F$54))&gt;(J17+'Bateriová úložiště'!$D$53-(FVE!$D$54+FVE!$F$54)),(0.6*(FVE!$D$54+FVE!$F$54)-J16)&gt;0),1559103.03*((((0.6*(FVE!$D$54+FVE!$F$54)-J16))/6.2807)^(1/0.959))^0.71,IF(AND(D17&gt;200,(J17-0.6*(FVE!$D$54+FVE!$F$54))&lt;=(J17+'Bateriová úložiště'!$D$53-(FVE!$D$54+FVE!$F$54)),((FVE!$D$54+FVE!$F$54)-'Bateriová úložiště'!$D$53-J16)&gt;0),1559103.03*(((J17-(J17+'Bateriová úložiště'!$D$53-(FVE!$D$54+FVE!$F$54))-J16)/6.2807)^(1/0.959))^0.71,0)))))))</f>
        <v>0</v>
      </c>
      <c r="I17" s="24">
        <f t="shared" si="5"/>
        <v>0</v>
      </c>
      <c r="J17" s="24">
        <f>SUM($I$3:I17)</f>
        <v>0</v>
      </c>
      <c r="K17" s="24"/>
      <c r="L17" s="24" t="e">
        <f t="shared" si="0"/>
        <v>#VALUE!</v>
      </c>
      <c r="M17" s="24" t="e">
        <f>6.2807*(SUM(ABS($F$3:F17))^0.959)</f>
        <v>#VALUE!</v>
      </c>
      <c r="N17" s="14"/>
      <c r="O17" s="14"/>
      <c r="P17" s="14"/>
      <c r="Q17" s="14"/>
      <c r="R17" s="14"/>
      <c r="S17" s="14"/>
      <c r="T17" s="14"/>
      <c r="U17" s="14"/>
    </row>
    <row r="18" spans="1:21" ht="16.5" thickTop="1" thickBot="1" x14ac:dyDescent="0.3">
      <c r="A18" s="159"/>
      <c r="B18" s="91"/>
      <c r="C18" s="5"/>
      <c r="D18" s="95"/>
      <c r="E18" s="76"/>
      <c r="F18" s="77" t="str">
        <f>IF(OR(AND(D18&gt;0.0001,D18&lt;3),D18&gt;5000),"MIMO POVOLENÝ ROZSAH",IF(AND('Bateriová úložiště'!$D$53&lt;(FVE!$D$54+FVE!$F$54),J18&lt;0.1*(FVE!$D$54+FVE!$F$54)),-((ABS(J18-0.1*(FVE!$D$54+FVE!$F$54))/6.2807)^(1/0.959)),IF(AND('Bateriová úložiště'!$D$53&lt;(FVE!$D$54+FVE!$F$54),J18&gt;=0.1*(FVE!$D$54+FVE!$F$54),J18&lt;=0.6*(FVE!$D$54+FVE!$F$54),(J18+'Bateriová úložiště'!$D$53)&lt;(FVE!$D$54+FVE!$F$54),(J18-0.6*(FVE!$D$54+FVE!$F$54))&lt;(J18+'Bateriová úložiště'!$D$53-(FVE!$D$54+FVE!$F$54))),(((FVE!$D$54+FVE!$F$54)-(J18+'Bateriová úložiště'!$D$53))/6.2807)^(1/0.959),IF(AND('Bateriová úložiště'!$D$53&lt;(FVE!$D$54+FVE!$F$54),J18&gt;=0.1*(FVE!$D$54+FVE!$F$54),J18&lt;=0.6*(FVE!$D$54+FVE!$F$54),(J18+'Bateriová úložiště'!$D$53)&lt;(FVE!$D$54+FVE!$F$54),(J18-0.6*(FVE!$D$54+FVE!$F$54))&gt;=(J18+'Bateriová úložiště'!$D$53-(FVE!$D$54+FVE!$F$54))),((0.6*(FVE!$D$54+FVE!$F$54)-J18)/6.2807)^(1/0.959),IF(AND(OR((J18+'Bateriová úložiště'!$D$53)&gt;=(FVE!$D$54+FVE!$F$54),J18&gt;=0.6*(FVE!$D$54+FVE!$F$54)),(J17+'Bateriová úložiště'!$D$53)&lt;(FVE!$D$54+FVE!$F$54),J17&lt;0.6*(FVE!$D$54+FVE!$F$54)),"MAX. DOTACE BYLA DOSAŽENA (100% VÝKONU FVE) - DALŠÍ VÝDAJE JSOU NEZPŮSOBILÉ",IF(OR(J17&gt;=0.6*(FVE!$D$54+FVE!$F$54),(J17+'Bateriová úložiště'!$D$53))&gt;=(FVE!$D$54+FVE!$F$54),""))))))</f>
        <v/>
      </c>
      <c r="G18" s="162"/>
      <c r="H18" s="24">
        <f>IF(OR(D18&lt;3,D18&gt;5000,$I$53&lt;0.1*(FVE!$D$54+FVE!$F$54),'Bateriová úložiště'!$D$53&gt;=(FVE!$D$54+FVE!$F$54)),0,IF(AND(D18&lt;=200,J18&lt;=0.6*(FVE!$D$54+FVE!$F$54),(J18+'Bateriová úložiště'!$D$53)&lt;=(FVE!$D$54+FVE!$F$54)),(1754822.82*D18^0.69),IF(AND(D18&lt;=200,(J18-0.6*(FVE!$D$54+FVE!$F$54))&gt;(J18+'Bateriová úložiště'!$D$53-(FVE!$D$54+FVE!$F$54)),(0.6*(FVE!$D$54+FVE!$F$54)-J17)&gt;0),1754822.82*(((0.6*(FVE!$D$54+FVE!$F$54)-J17)/6.2807)^(1/0.959))^0.69,IF(AND(D18&lt;=200,(J18-0.6*(FVE!$D$54+FVE!$F$54))&lt;=(J18+'Bateriová úložiště'!$D$53-(FVE!$D$54+FVE!$F$54)),((FVE!$D$54+FVE!$F$54)-'Bateriová úložiště'!$D$53-J17)&gt;0),1754822.82*(((J18-(J18+'Bateriová úložiště'!$D$53-(FVE!$D$54+FVE!$F$54))-J17)/6.2807)^(1/0.959))^0.69,IF(AND(D18&gt;200,J18&lt;=0.6*(FVE!$D$54+FVE!$F$54),(J18+'Bateriová úložiště'!$D$53)&lt;=(FVE!$D$54+FVE!$F$54)),(1559103.03*D18^0.71),IF(AND(D18&gt;200,(J18-0.6*(FVE!$D$54+FVE!$F$54))&gt;(J18+'Bateriová úložiště'!$D$53-(FVE!$D$54+FVE!$F$54)),(0.6*(FVE!$D$54+FVE!$F$54)-J17)&gt;0),1559103.03*((((0.6*(FVE!$D$54+FVE!$F$54)-J17))/6.2807)^(1/0.959))^0.71,IF(AND(D18&gt;200,(J18-0.6*(FVE!$D$54+FVE!$F$54))&lt;=(J18+'Bateriová úložiště'!$D$53-(FVE!$D$54+FVE!$F$54)),((FVE!$D$54+FVE!$F$54)-'Bateriová úložiště'!$D$53-J17)&gt;0),1559103.03*(((J18-(J18+'Bateriová úložiště'!$D$53-(FVE!$D$54+FVE!$F$54))-J17)/6.2807)^(1/0.959))^0.71,0)))))))</f>
        <v>0</v>
      </c>
      <c r="I18" s="24">
        <f t="shared" si="5"/>
        <v>0</v>
      </c>
      <c r="J18" s="24">
        <f>SUM($I$3:I18)</f>
        <v>0</v>
      </c>
      <c r="K18" s="24"/>
      <c r="L18" s="24" t="e">
        <f t="shared" si="0"/>
        <v>#VALUE!</v>
      </c>
      <c r="M18" s="24" t="e">
        <f>6.2807*(SUM(ABS($F$3:F18))^0.959)</f>
        <v>#VALUE!</v>
      </c>
      <c r="N18" s="14"/>
      <c r="O18" s="14"/>
      <c r="P18" s="14"/>
      <c r="Q18" s="14"/>
      <c r="R18" s="14"/>
      <c r="S18" s="14"/>
      <c r="T18" s="14"/>
      <c r="U18" s="14"/>
    </row>
    <row r="19" spans="1:21" ht="16.5" thickTop="1" thickBot="1" x14ac:dyDescent="0.3">
      <c r="A19" s="159"/>
      <c r="B19" s="91"/>
      <c r="C19" s="5"/>
      <c r="D19" s="95"/>
      <c r="E19" s="76"/>
      <c r="F19" s="77" t="str">
        <f>IF(OR(AND(D19&gt;0.0001,D19&lt;3),D19&gt;5000),"MIMO POVOLENÝ ROZSAH",IF(AND('Bateriová úložiště'!$D$53&lt;(FVE!$D$54+FVE!$F$54),J19&lt;0.1*(FVE!$D$54+FVE!$F$54)),-((ABS(J19-0.1*(FVE!$D$54+FVE!$F$54))/6.2807)^(1/0.959)),IF(AND('Bateriová úložiště'!$D$53&lt;(FVE!$D$54+FVE!$F$54),J19&gt;=0.1*(FVE!$D$54+FVE!$F$54),J19&lt;=0.6*(FVE!$D$54+FVE!$F$54),(J19+'Bateriová úložiště'!$D$53)&lt;(FVE!$D$54+FVE!$F$54),(J19-0.6*(FVE!$D$54+FVE!$F$54))&lt;(J19+'Bateriová úložiště'!$D$53-(FVE!$D$54+FVE!$F$54))),(((FVE!$D$54+FVE!$F$54)-(J19+'Bateriová úložiště'!$D$53))/6.2807)^(1/0.959),IF(AND('Bateriová úložiště'!$D$53&lt;(FVE!$D$54+FVE!$F$54),J19&gt;=0.1*(FVE!$D$54+FVE!$F$54),J19&lt;=0.6*(FVE!$D$54+FVE!$F$54),(J19+'Bateriová úložiště'!$D$53)&lt;(FVE!$D$54+FVE!$F$54),(J19-0.6*(FVE!$D$54+FVE!$F$54))&gt;=(J19+'Bateriová úložiště'!$D$53-(FVE!$D$54+FVE!$F$54))),((0.6*(FVE!$D$54+FVE!$F$54)-J19)/6.2807)^(1/0.959),IF(AND(OR((J19+'Bateriová úložiště'!$D$53)&gt;=(FVE!$D$54+FVE!$F$54),J19&gt;=0.6*(FVE!$D$54+FVE!$F$54)),(J18+'Bateriová úložiště'!$D$53)&lt;(FVE!$D$54+FVE!$F$54),J18&lt;0.6*(FVE!$D$54+FVE!$F$54)),"MAX. DOTACE BYLA DOSAŽENA (100% VÝKONU FVE) - DALŠÍ VÝDAJE JSOU NEZPŮSOBILÉ",IF(OR(J18&gt;=0.6*(FVE!$D$54+FVE!$F$54),(J18+'Bateriová úložiště'!$D$53))&gt;=(FVE!$D$54+FVE!$F$54),""))))))</f>
        <v/>
      </c>
      <c r="G19" s="162"/>
      <c r="H19" s="24">
        <f>IF(OR(D19&lt;3,D19&gt;5000,$I$53&lt;0.1*(FVE!$D$54+FVE!$F$54),'Bateriová úložiště'!$D$53&gt;=(FVE!$D$54+FVE!$F$54)),0,IF(AND(D19&lt;=200,J19&lt;=0.6*(FVE!$D$54+FVE!$F$54),(J19+'Bateriová úložiště'!$D$53)&lt;=(FVE!$D$54+FVE!$F$54)),(1754822.82*D19^0.69),IF(AND(D19&lt;=200,(J19-0.6*(FVE!$D$54+FVE!$F$54))&gt;(J19+'Bateriová úložiště'!$D$53-(FVE!$D$54+FVE!$F$54)),(0.6*(FVE!$D$54+FVE!$F$54)-J18)&gt;0),1754822.82*(((0.6*(FVE!$D$54+FVE!$F$54)-J18)/6.2807)^(1/0.959))^0.69,IF(AND(D19&lt;=200,(J19-0.6*(FVE!$D$54+FVE!$F$54))&lt;=(J19+'Bateriová úložiště'!$D$53-(FVE!$D$54+FVE!$F$54)),((FVE!$D$54+FVE!$F$54)-'Bateriová úložiště'!$D$53-J18)&gt;0),1754822.82*(((J19-(J19+'Bateriová úložiště'!$D$53-(FVE!$D$54+FVE!$F$54))-J18)/6.2807)^(1/0.959))^0.69,IF(AND(D19&gt;200,J19&lt;=0.6*(FVE!$D$54+FVE!$F$54),(J19+'Bateriová úložiště'!$D$53)&lt;=(FVE!$D$54+FVE!$F$54)),(1559103.03*D19^0.71),IF(AND(D19&gt;200,(J19-0.6*(FVE!$D$54+FVE!$F$54))&gt;(J19+'Bateriová úložiště'!$D$53-(FVE!$D$54+FVE!$F$54)),(0.6*(FVE!$D$54+FVE!$F$54)-J18)&gt;0),1559103.03*((((0.6*(FVE!$D$54+FVE!$F$54)-J18))/6.2807)^(1/0.959))^0.71,IF(AND(D19&gt;200,(J19-0.6*(FVE!$D$54+FVE!$F$54))&lt;=(J19+'Bateriová úložiště'!$D$53-(FVE!$D$54+FVE!$F$54)),((FVE!$D$54+FVE!$F$54)-'Bateriová úložiště'!$D$53-J18)&gt;0),1559103.03*(((J19-(J19+'Bateriová úložiště'!$D$53-(FVE!$D$54+FVE!$F$54))-J18)/6.2807)^(1/0.959))^0.71,0)))))))</f>
        <v>0</v>
      </c>
      <c r="I19" s="24">
        <f t="shared" si="5"/>
        <v>0</v>
      </c>
      <c r="J19" s="24">
        <f>SUM($I$3:I19)</f>
        <v>0</v>
      </c>
      <c r="K19" s="24"/>
      <c r="L19" s="24" t="e">
        <f t="shared" si="0"/>
        <v>#VALUE!</v>
      </c>
      <c r="M19" s="24" t="e">
        <f>6.2807*(SUM(ABS($F$3:F19))^0.959)</f>
        <v>#VALUE!</v>
      </c>
      <c r="N19" s="14"/>
      <c r="O19" s="14"/>
      <c r="P19" s="14"/>
      <c r="Q19" s="14"/>
      <c r="R19" s="14"/>
      <c r="S19" s="14"/>
      <c r="T19" s="14"/>
      <c r="U19" s="14"/>
    </row>
    <row r="20" spans="1:21" ht="16.5" thickTop="1" thickBot="1" x14ac:dyDescent="0.3">
      <c r="A20" s="159"/>
      <c r="B20" s="91"/>
      <c r="C20" s="5"/>
      <c r="D20" s="95"/>
      <c r="E20" s="76"/>
      <c r="F20" s="77" t="str">
        <f>IF(OR(AND(D20&gt;0.0001,D20&lt;3),D20&gt;5000),"MIMO POVOLENÝ ROZSAH",IF(AND('Bateriová úložiště'!$D$53&lt;(FVE!$D$54+FVE!$F$54),J20&lt;0.1*(FVE!$D$54+FVE!$F$54)),-((ABS(J20-0.1*(FVE!$D$54+FVE!$F$54))/6.2807)^(1/0.959)),IF(AND('Bateriová úložiště'!$D$53&lt;(FVE!$D$54+FVE!$F$54),J20&gt;=0.1*(FVE!$D$54+FVE!$F$54),J20&lt;=0.6*(FVE!$D$54+FVE!$F$54),(J20+'Bateriová úložiště'!$D$53)&lt;(FVE!$D$54+FVE!$F$54),(J20-0.6*(FVE!$D$54+FVE!$F$54))&lt;(J20+'Bateriová úložiště'!$D$53-(FVE!$D$54+FVE!$F$54))),(((FVE!$D$54+FVE!$F$54)-(J20+'Bateriová úložiště'!$D$53))/6.2807)^(1/0.959),IF(AND('Bateriová úložiště'!$D$53&lt;(FVE!$D$54+FVE!$F$54),J20&gt;=0.1*(FVE!$D$54+FVE!$F$54),J20&lt;=0.6*(FVE!$D$54+FVE!$F$54),(J20+'Bateriová úložiště'!$D$53)&lt;(FVE!$D$54+FVE!$F$54),(J20-0.6*(FVE!$D$54+FVE!$F$54))&gt;=(J20+'Bateriová úložiště'!$D$53-(FVE!$D$54+FVE!$F$54))),((0.6*(FVE!$D$54+FVE!$F$54)-J20)/6.2807)^(1/0.959),IF(AND(OR((J20+'Bateriová úložiště'!$D$53)&gt;=(FVE!$D$54+FVE!$F$54),J20&gt;=0.6*(FVE!$D$54+FVE!$F$54)),(J19+'Bateriová úložiště'!$D$53)&lt;(FVE!$D$54+FVE!$F$54),J19&lt;0.6*(FVE!$D$54+FVE!$F$54)),"MAX. DOTACE BYLA DOSAŽENA (100% VÝKONU FVE) - DALŠÍ VÝDAJE JSOU NEZPŮSOBILÉ",IF(OR(J19&gt;=0.6*(FVE!$D$54+FVE!$F$54),(J19+'Bateriová úložiště'!$D$53))&gt;=(FVE!$D$54+FVE!$F$54),""))))))</f>
        <v/>
      </c>
      <c r="G20" s="162"/>
      <c r="H20" s="24">
        <f>IF(OR(D20&lt;3,D20&gt;5000,$I$53&lt;0.1*(FVE!$D$54+FVE!$F$54),'Bateriová úložiště'!$D$53&gt;=(FVE!$D$54+FVE!$F$54)),0,IF(AND(D20&lt;=200,J20&lt;=0.6*(FVE!$D$54+FVE!$F$54),(J20+'Bateriová úložiště'!$D$53)&lt;=(FVE!$D$54+FVE!$F$54)),(1754822.82*D20^0.69),IF(AND(D20&lt;=200,(J20-0.6*(FVE!$D$54+FVE!$F$54))&gt;(J20+'Bateriová úložiště'!$D$53-(FVE!$D$54+FVE!$F$54)),(0.6*(FVE!$D$54+FVE!$F$54)-J19)&gt;0),1754822.82*(((0.6*(FVE!$D$54+FVE!$F$54)-J19)/6.2807)^(1/0.959))^0.69,IF(AND(D20&lt;=200,(J20-0.6*(FVE!$D$54+FVE!$F$54))&lt;=(J20+'Bateriová úložiště'!$D$53-(FVE!$D$54+FVE!$F$54)),((FVE!$D$54+FVE!$F$54)-'Bateriová úložiště'!$D$53-J19)&gt;0),1754822.82*(((J20-(J20+'Bateriová úložiště'!$D$53-(FVE!$D$54+FVE!$F$54))-J19)/6.2807)^(1/0.959))^0.69,IF(AND(D20&gt;200,J20&lt;=0.6*(FVE!$D$54+FVE!$F$54),(J20+'Bateriová úložiště'!$D$53)&lt;=(FVE!$D$54+FVE!$F$54)),(1559103.03*D20^0.71),IF(AND(D20&gt;200,(J20-0.6*(FVE!$D$54+FVE!$F$54))&gt;(J20+'Bateriová úložiště'!$D$53-(FVE!$D$54+FVE!$F$54)),(0.6*(FVE!$D$54+FVE!$F$54)-J19)&gt;0),1559103.03*((((0.6*(FVE!$D$54+FVE!$F$54)-J19))/6.2807)^(1/0.959))^0.71,IF(AND(D20&gt;200,(J20-0.6*(FVE!$D$54+FVE!$F$54))&lt;=(J20+'Bateriová úložiště'!$D$53-(FVE!$D$54+FVE!$F$54)),((FVE!$D$54+FVE!$F$54)-'Bateriová úložiště'!$D$53-J19)&gt;0),1559103.03*(((J20-(J20+'Bateriová úložiště'!$D$53-(FVE!$D$54+FVE!$F$54))-J19)/6.2807)^(1/0.959))^0.71,0)))))))</f>
        <v>0</v>
      </c>
      <c r="I20" s="24">
        <f t="shared" si="5"/>
        <v>0</v>
      </c>
      <c r="J20" s="24">
        <f>SUM($I$3:I20)</f>
        <v>0</v>
      </c>
      <c r="K20" s="24"/>
      <c r="L20" s="24" t="e">
        <f t="shared" si="0"/>
        <v>#VALUE!</v>
      </c>
      <c r="M20" s="24" t="e">
        <f>6.2807*(SUM(ABS($F$3:F20))^0.959)</f>
        <v>#VALUE!</v>
      </c>
      <c r="N20" s="14"/>
      <c r="O20" s="14"/>
      <c r="P20" s="14"/>
      <c r="Q20" s="14"/>
      <c r="R20" s="14"/>
      <c r="S20" s="14"/>
      <c r="T20" s="14"/>
      <c r="U20" s="14"/>
    </row>
    <row r="21" spans="1:21" ht="16.5" thickTop="1" thickBot="1" x14ac:dyDescent="0.3">
      <c r="A21" s="159"/>
      <c r="B21" s="92"/>
      <c r="C21" s="5"/>
      <c r="D21" s="95"/>
      <c r="E21" s="76"/>
      <c r="F21" s="77" t="str">
        <f>IF(OR(AND(D21&gt;0.0001,D21&lt;3),D21&gt;5000),"MIMO POVOLENÝ ROZSAH",IF(AND('Bateriová úložiště'!$D$53&lt;(FVE!$D$54+FVE!$F$54),J21&lt;0.1*(FVE!$D$54+FVE!$F$54)),-((ABS(J21-0.1*(FVE!$D$54+FVE!$F$54))/6.2807)^(1/0.959)),IF(AND('Bateriová úložiště'!$D$53&lt;(FVE!$D$54+FVE!$F$54),J21&gt;=0.1*(FVE!$D$54+FVE!$F$54),J21&lt;=0.6*(FVE!$D$54+FVE!$F$54),(J21+'Bateriová úložiště'!$D$53)&lt;(FVE!$D$54+FVE!$F$54),(J21-0.6*(FVE!$D$54+FVE!$F$54))&lt;(J21+'Bateriová úložiště'!$D$53-(FVE!$D$54+FVE!$F$54))),(((FVE!$D$54+FVE!$F$54)-(J21+'Bateriová úložiště'!$D$53))/6.2807)^(1/0.959),IF(AND('Bateriová úložiště'!$D$53&lt;(FVE!$D$54+FVE!$F$54),J21&gt;=0.1*(FVE!$D$54+FVE!$F$54),J21&lt;=0.6*(FVE!$D$54+FVE!$F$54),(J21+'Bateriová úložiště'!$D$53)&lt;(FVE!$D$54+FVE!$F$54),(J21-0.6*(FVE!$D$54+FVE!$F$54))&gt;=(J21+'Bateriová úložiště'!$D$53-(FVE!$D$54+FVE!$F$54))),((0.6*(FVE!$D$54+FVE!$F$54)-J21)/6.2807)^(1/0.959),IF(AND(OR((J21+'Bateriová úložiště'!$D$53)&gt;=(FVE!$D$54+FVE!$F$54),J21&gt;=0.6*(FVE!$D$54+FVE!$F$54)),(J20+'Bateriová úložiště'!$D$53)&lt;(FVE!$D$54+FVE!$F$54),J20&lt;0.6*(FVE!$D$54+FVE!$F$54)),"MAX. DOTACE BYLA DOSAŽENA (100% VÝKONU FVE) - DALŠÍ VÝDAJE JSOU NEZPŮSOBILÉ",IF(OR(J20&gt;=0.6*(FVE!$D$54+FVE!$F$54),(J20+'Bateriová úložiště'!$D$53))&gt;=(FVE!$D$54+FVE!$F$54),""))))))</f>
        <v/>
      </c>
      <c r="G21" s="162"/>
      <c r="H21" s="24">
        <f>IF(OR(D21&lt;3,D21&gt;5000,$I$53&lt;0.1*(FVE!$D$54+FVE!$F$54),'Bateriová úložiště'!$D$53&gt;=(FVE!$D$54+FVE!$F$54)),0,IF(AND(D21&lt;=200,J21&lt;=0.6*(FVE!$D$54+FVE!$F$54),(J21+'Bateriová úložiště'!$D$53)&lt;=(FVE!$D$54+FVE!$F$54)),(1754822.82*D21^0.69),IF(AND(D21&lt;=200,(J21-0.6*(FVE!$D$54+FVE!$F$54))&gt;(J21+'Bateriová úložiště'!$D$53-(FVE!$D$54+FVE!$F$54)),(0.6*(FVE!$D$54+FVE!$F$54)-J20)&gt;0),1754822.82*(((0.6*(FVE!$D$54+FVE!$F$54)-J20)/6.2807)^(1/0.959))^0.69,IF(AND(D21&lt;=200,(J21-0.6*(FVE!$D$54+FVE!$F$54))&lt;=(J21+'Bateriová úložiště'!$D$53-(FVE!$D$54+FVE!$F$54)),((FVE!$D$54+FVE!$F$54)-'Bateriová úložiště'!$D$53-J20)&gt;0),1754822.82*(((J21-(J21+'Bateriová úložiště'!$D$53-(FVE!$D$54+FVE!$F$54))-J20)/6.2807)^(1/0.959))^0.69,IF(AND(D21&gt;200,J21&lt;=0.6*(FVE!$D$54+FVE!$F$54),(J21+'Bateriová úložiště'!$D$53)&lt;=(FVE!$D$54+FVE!$F$54)),(1559103.03*D21^0.71),IF(AND(D21&gt;200,(J21-0.6*(FVE!$D$54+FVE!$F$54))&gt;(J21+'Bateriová úložiště'!$D$53-(FVE!$D$54+FVE!$F$54)),(0.6*(FVE!$D$54+FVE!$F$54)-J20)&gt;0),1559103.03*((((0.6*(FVE!$D$54+FVE!$F$54)-J20))/6.2807)^(1/0.959))^0.71,IF(AND(D21&gt;200,(J21-0.6*(FVE!$D$54+FVE!$F$54))&lt;=(J21+'Bateriová úložiště'!$D$53-(FVE!$D$54+FVE!$F$54)),((FVE!$D$54+FVE!$F$54)-'Bateriová úložiště'!$D$53-J20)&gt;0),1559103.03*(((J21-(J21+'Bateriová úložiště'!$D$53-(FVE!$D$54+FVE!$F$54))-J20)/6.2807)^(1/0.959))^0.71,0)))))))</f>
        <v>0</v>
      </c>
      <c r="I21" s="24">
        <f t="shared" si="5"/>
        <v>0</v>
      </c>
      <c r="J21" s="24">
        <f>SUM($I$3:I21)</f>
        <v>0</v>
      </c>
      <c r="K21" s="24"/>
      <c r="L21" s="24" t="e">
        <f t="shared" si="0"/>
        <v>#VALUE!</v>
      </c>
      <c r="M21" s="24" t="e">
        <f>6.2807*(SUM(ABS($F$3:F21))^0.959)</f>
        <v>#VALUE!</v>
      </c>
      <c r="N21" s="14"/>
      <c r="O21" s="14"/>
      <c r="P21" s="14"/>
      <c r="Q21" s="14"/>
      <c r="R21" s="14"/>
      <c r="S21" s="14"/>
      <c r="T21" s="14"/>
      <c r="U21" s="14"/>
    </row>
    <row r="22" spans="1:21" ht="16.5" thickTop="1" thickBot="1" x14ac:dyDescent="0.3">
      <c r="A22" s="159"/>
      <c r="B22" s="91"/>
      <c r="C22" s="5"/>
      <c r="D22" s="95"/>
      <c r="E22" s="76"/>
      <c r="F22" s="77" t="str">
        <f>IF(OR(AND(D22&gt;0.0001,D22&lt;3),D22&gt;5000),"MIMO POVOLENÝ ROZSAH",IF(AND('Bateriová úložiště'!$D$53&lt;(FVE!$D$54+FVE!$F$54),J22&lt;0.1*(FVE!$D$54+FVE!$F$54)),-((ABS(J22-0.1*(FVE!$D$54+FVE!$F$54))/6.2807)^(1/0.959)),IF(AND('Bateriová úložiště'!$D$53&lt;(FVE!$D$54+FVE!$F$54),J22&gt;=0.1*(FVE!$D$54+FVE!$F$54),J22&lt;=0.6*(FVE!$D$54+FVE!$F$54),(J22+'Bateriová úložiště'!$D$53)&lt;(FVE!$D$54+FVE!$F$54),(J22-0.6*(FVE!$D$54+FVE!$F$54))&lt;(J22+'Bateriová úložiště'!$D$53-(FVE!$D$54+FVE!$F$54))),(((FVE!$D$54+FVE!$F$54)-(J22+'Bateriová úložiště'!$D$53))/6.2807)^(1/0.959),IF(AND('Bateriová úložiště'!$D$53&lt;(FVE!$D$54+FVE!$F$54),J22&gt;=0.1*(FVE!$D$54+FVE!$F$54),J22&lt;=0.6*(FVE!$D$54+FVE!$F$54),(J22+'Bateriová úložiště'!$D$53)&lt;(FVE!$D$54+FVE!$F$54),(J22-0.6*(FVE!$D$54+FVE!$F$54))&gt;=(J22+'Bateriová úložiště'!$D$53-(FVE!$D$54+FVE!$F$54))),((0.6*(FVE!$D$54+FVE!$F$54)-J22)/6.2807)^(1/0.959),IF(AND(OR((J22+'Bateriová úložiště'!$D$53)&gt;=(FVE!$D$54+FVE!$F$54),J22&gt;=0.6*(FVE!$D$54+FVE!$F$54)),(J21+'Bateriová úložiště'!$D$53)&lt;(FVE!$D$54+FVE!$F$54),J21&lt;0.6*(FVE!$D$54+FVE!$F$54)),"MAX. DOTACE BYLA DOSAŽENA (100% VÝKONU FVE) - DALŠÍ VÝDAJE JSOU NEZPŮSOBILÉ",IF(OR(J21&gt;=0.6*(FVE!$D$54+FVE!$F$54),(J21+'Bateriová úložiště'!$D$53))&gt;=(FVE!$D$54+FVE!$F$54),""))))))</f>
        <v/>
      </c>
      <c r="G22" s="162"/>
      <c r="H22" s="24">
        <f>IF(OR(D22&lt;3,D22&gt;5000,$I$53&lt;0.1*(FVE!$D$54+FVE!$F$54),'Bateriová úložiště'!$D$53&gt;=(FVE!$D$54+FVE!$F$54)),0,IF(AND(D22&lt;=200,J22&lt;=0.6*(FVE!$D$54+FVE!$F$54),(J22+'Bateriová úložiště'!$D$53)&lt;=(FVE!$D$54+FVE!$F$54)),(1754822.82*D22^0.69),IF(AND(D22&lt;=200,(J22-0.6*(FVE!$D$54+FVE!$F$54))&gt;(J22+'Bateriová úložiště'!$D$53-(FVE!$D$54+FVE!$F$54)),(0.6*(FVE!$D$54+FVE!$F$54)-J21)&gt;0),1754822.82*(((0.6*(FVE!$D$54+FVE!$F$54)-J21)/6.2807)^(1/0.959))^0.69,IF(AND(D22&lt;=200,(J22-0.6*(FVE!$D$54+FVE!$F$54))&lt;=(J22+'Bateriová úložiště'!$D$53-(FVE!$D$54+FVE!$F$54)),((FVE!$D$54+FVE!$F$54)-'Bateriová úložiště'!$D$53-J21)&gt;0),1754822.82*(((J22-(J22+'Bateriová úložiště'!$D$53-(FVE!$D$54+FVE!$F$54))-J21)/6.2807)^(1/0.959))^0.69,IF(AND(D22&gt;200,J22&lt;=0.6*(FVE!$D$54+FVE!$F$54),(J22+'Bateriová úložiště'!$D$53)&lt;=(FVE!$D$54+FVE!$F$54)),(1559103.03*D22^0.71),IF(AND(D22&gt;200,(J22-0.6*(FVE!$D$54+FVE!$F$54))&gt;(J22+'Bateriová úložiště'!$D$53-(FVE!$D$54+FVE!$F$54)),(0.6*(FVE!$D$54+FVE!$F$54)-J21)&gt;0),1559103.03*((((0.6*(FVE!$D$54+FVE!$F$54)-J21))/6.2807)^(1/0.959))^0.71,IF(AND(D22&gt;200,(J22-0.6*(FVE!$D$54+FVE!$F$54))&lt;=(J22+'Bateriová úložiště'!$D$53-(FVE!$D$54+FVE!$F$54)),((FVE!$D$54+FVE!$F$54)-'Bateriová úložiště'!$D$53-J21)&gt;0),1559103.03*(((J22-(J22+'Bateriová úložiště'!$D$53-(FVE!$D$54+FVE!$F$54))-J21)/6.2807)^(1/0.959))^0.71,0)))))))</f>
        <v>0</v>
      </c>
      <c r="I22" s="24">
        <f t="shared" si="5"/>
        <v>0</v>
      </c>
      <c r="J22" s="24">
        <f>SUM($I$3:I22)</f>
        <v>0</v>
      </c>
      <c r="K22" s="24"/>
      <c r="L22" s="24" t="e">
        <f t="shared" si="0"/>
        <v>#VALUE!</v>
      </c>
      <c r="M22" s="24" t="e">
        <f>6.2807*(SUM(ABS($F$3:F22))^0.959)</f>
        <v>#VALUE!</v>
      </c>
      <c r="N22" s="14"/>
      <c r="O22" s="14"/>
      <c r="P22" s="14"/>
      <c r="Q22" s="14"/>
      <c r="R22" s="14"/>
      <c r="S22" s="14"/>
      <c r="T22" s="14"/>
      <c r="U22" s="14"/>
    </row>
    <row r="23" spans="1:21" ht="16.5" thickTop="1" thickBot="1" x14ac:dyDescent="0.3">
      <c r="A23" s="159"/>
      <c r="B23" s="91"/>
      <c r="C23" s="5"/>
      <c r="D23" s="95"/>
      <c r="E23" s="76"/>
      <c r="F23" s="73" t="str">
        <f>IF(OR(AND(D23&gt;0.0001,D23&lt;3),D23&gt;5000),"MIMO POVOLENÝ ROZSAH",IF(AND('Bateriová úložiště'!$D$53&lt;(FVE!$D$54+FVE!$F$54),J23&lt;0.1*(FVE!$D$54+FVE!$F$54)),-((ABS(J23-0.1*(FVE!$D$54+FVE!$F$54))/6.2807)^(1/0.959)),IF(AND('Bateriová úložiště'!$D$53&lt;(FVE!$D$54+FVE!$F$54),J23&gt;=0.1*(FVE!$D$54+FVE!$F$54),J23&lt;=0.6*(FVE!$D$54+FVE!$F$54),(J23+'Bateriová úložiště'!$D$53)&lt;(FVE!$D$54+FVE!$F$54),(J23-0.6*(FVE!$D$54+FVE!$F$54))&lt;(J23+'Bateriová úložiště'!$D$53-(FVE!$D$54+FVE!$F$54))),(((FVE!$D$54+FVE!$F$54)-(J23+'Bateriová úložiště'!$D$53))/6.2807)^(1/0.959),IF(AND('Bateriová úložiště'!$D$53&lt;(FVE!$D$54+FVE!$F$54),J23&gt;=0.1*(FVE!$D$54+FVE!$F$54),J23&lt;=0.6*(FVE!$D$54+FVE!$F$54),(J23+'Bateriová úložiště'!$D$53)&lt;(FVE!$D$54+FVE!$F$54),(J23-0.6*(FVE!$D$54+FVE!$F$54))&gt;=(J23+'Bateriová úložiště'!$D$53-(FVE!$D$54+FVE!$F$54))),((0.6*(FVE!$D$54+FVE!$F$54)-J23)/6.2807)^(1/0.959),IF(AND(OR((J23+'Bateriová úložiště'!$D$53)&gt;=(FVE!$D$54+FVE!$F$54),J23&gt;=0.6*(FVE!$D$54+FVE!$F$54)),(J22+'Bateriová úložiště'!$D$53)&lt;(FVE!$D$54+FVE!$F$54),J22&lt;0.6*(FVE!$D$54+FVE!$F$54)),"MAX. DOTACE BYLA DOSAŽENA (100% VÝKONU FVE) - DALŠÍ VÝDAJE JSOU NEZPŮSOBILÉ",IF(OR(J22&gt;=0.6*(FVE!$D$54+FVE!$F$54),(J22+'Bateriová úložiště'!$D$53))&gt;=(FVE!$D$54+FVE!$F$54),""))))))</f>
        <v/>
      </c>
      <c r="G23" s="162"/>
      <c r="H23" s="24">
        <f>IF(OR(D23&lt;3,D23&gt;5000,$I$53&lt;0.1*(FVE!$D$54+FVE!$F$54),'Bateriová úložiště'!$D$53&gt;=(FVE!$D$54+FVE!$F$54)),0,IF(AND(D23&lt;=200,J23&lt;=0.6*(FVE!$D$54+FVE!$F$54),(J23+'Bateriová úložiště'!$D$53)&lt;=(FVE!$D$54+FVE!$F$54)),(1754822.82*D23^0.69),IF(AND(D23&lt;=200,(J23-0.6*(FVE!$D$54+FVE!$F$54))&gt;(J23+'Bateriová úložiště'!$D$53-(FVE!$D$54+FVE!$F$54)),(0.6*(FVE!$D$54+FVE!$F$54)-J22)&gt;0),1754822.82*(((0.6*(FVE!$D$54+FVE!$F$54)-J22)/6.2807)^(1/0.959))^0.69,IF(AND(D23&lt;=200,(J23-0.6*(FVE!$D$54+FVE!$F$54))&lt;=(J23+'Bateriová úložiště'!$D$53-(FVE!$D$54+FVE!$F$54)),((FVE!$D$54+FVE!$F$54)-'Bateriová úložiště'!$D$53-J22)&gt;0),1754822.82*(((J23-(J23+'Bateriová úložiště'!$D$53-(FVE!$D$54+FVE!$F$54))-J22)/6.2807)^(1/0.959))^0.69,IF(AND(D23&gt;200,J23&lt;=0.6*(FVE!$D$54+FVE!$F$54),(J23+'Bateriová úložiště'!$D$53)&lt;=(FVE!$D$54+FVE!$F$54)),(1559103.03*D23^0.71),IF(AND(D23&gt;200,(J23-0.6*(FVE!$D$54+FVE!$F$54))&gt;(J23+'Bateriová úložiště'!$D$53-(FVE!$D$54+FVE!$F$54)),(0.6*(FVE!$D$54+FVE!$F$54)-J22)&gt;0),1559103.03*((((0.6*(FVE!$D$54+FVE!$F$54)-J22))/6.2807)^(1/0.959))^0.71,IF(AND(D23&gt;200,(J23-0.6*(FVE!$D$54+FVE!$F$54))&lt;=(J23+'Bateriová úložiště'!$D$53-(FVE!$D$54+FVE!$F$54)),((FVE!$D$54+FVE!$F$54)-'Bateriová úložiště'!$D$53-J22)&gt;0),1559103.03*(((J23-(J23+'Bateriová úložiště'!$D$53-(FVE!$D$54+FVE!$F$54))-J22)/6.2807)^(1/0.959))^0.71,0)))))))</f>
        <v>0</v>
      </c>
      <c r="I23" s="24">
        <f t="shared" si="5"/>
        <v>0</v>
      </c>
      <c r="J23" s="24">
        <f>SUM($I$3:I23)</f>
        <v>0</v>
      </c>
      <c r="K23" s="24"/>
      <c r="L23" s="24" t="e">
        <f t="shared" si="0"/>
        <v>#VALUE!</v>
      </c>
      <c r="M23" s="24" t="e">
        <f>6.2807*(SUM(ABS($F$3:F23))^0.959)</f>
        <v>#VALUE!</v>
      </c>
      <c r="N23" s="14"/>
      <c r="O23" s="14"/>
      <c r="P23" s="14"/>
      <c r="Q23" s="14"/>
      <c r="R23" s="14"/>
      <c r="S23" s="14"/>
      <c r="T23" s="14"/>
      <c r="U23" s="14"/>
    </row>
    <row r="24" spans="1:21" ht="16.5" thickTop="1" thickBot="1" x14ac:dyDescent="0.3">
      <c r="A24" s="159"/>
      <c r="B24" s="91"/>
      <c r="C24" s="5"/>
      <c r="D24" s="94"/>
      <c r="E24" s="76"/>
      <c r="F24" s="77" t="str">
        <f>IF(OR(AND(D24&gt;0.0001,D24&lt;3),D24&gt;5000),"MIMO POVOLENÝ ROZSAH",IF(AND('Bateriová úložiště'!$D$53&lt;(FVE!$D$54+FVE!$F$54),J24&lt;0.1*(FVE!$D$54+FVE!$F$54)),-((ABS(J24-0.1*(FVE!$D$54+FVE!$F$54))/6.2807)^(1/0.959)),IF(AND('Bateriová úložiště'!$D$53&lt;(FVE!$D$54+FVE!$F$54),J24&gt;=0.1*(FVE!$D$54+FVE!$F$54),J24&lt;=0.6*(FVE!$D$54+FVE!$F$54),(J24+'Bateriová úložiště'!$D$53)&lt;(FVE!$D$54+FVE!$F$54),(J24-0.6*(FVE!$D$54+FVE!$F$54))&lt;(J24+'Bateriová úložiště'!$D$53-(FVE!$D$54+FVE!$F$54))),(((FVE!$D$54+FVE!$F$54)-(J24+'Bateriová úložiště'!$D$53))/6.2807)^(1/0.959),IF(AND('Bateriová úložiště'!$D$53&lt;(FVE!$D$54+FVE!$F$54),J24&gt;=0.1*(FVE!$D$54+FVE!$F$54),J24&lt;=0.6*(FVE!$D$54+FVE!$F$54),(J24+'Bateriová úložiště'!$D$53)&lt;(FVE!$D$54+FVE!$F$54),(J24-0.6*(FVE!$D$54+FVE!$F$54))&gt;=(J24+'Bateriová úložiště'!$D$53-(FVE!$D$54+FVE!$F$54))),((0.6*(FVE!$D$54+FVE!$F$54)-J24)/6.2807)^(1/0.959),IF(AND(OR((J24+'Bateriová úložiště'!$D$53)&gt;=(FVE!$D$54+FVE!$F$54),J24&gt;=0.6*(FVE!$D$54+FVE!$F$54)),(J23+'Bateriová úložiště'!$D$53)&lt;(FVE!$D$54+FVE!$F$54),J23&lt;0.6*(FVE!$D$54+FVE!$F$54)),"MAX. DOTACE BYLA DOSAŽENA (100% VÝKONU FVE) - DALŠÍ VÝDAJE JSOU NEZPŮSOBILÉ",IF(OR(J23&gt;=0.6*(FVE!$D$54+FVE!$F$54),(J23+'Bateriová úložiště'!$D$53))&gt;=(FVE!$D$54+FVE!$F$54),""))))))</f>
        <v/>
      </c>
      <c r="G24" s="162"/>
      <c r="H24" s="24">
        <f>IF(OR(D24&lt;3,D24&gt;5000,$I$53&lt;0.1*(FVE!$D$54+FVE!$F$54),'Bateriová úložiště'!$D$53&gt;=(FVE!$D$54+FVE!$F$54)),0,IF(AND(D24&lt;=200,J24&lt;=0.6*(FVE!$D$54+FVE!$F$54),(J24+'Bateriová úložiště'!$D$53)&lt;=(FVE!$D$54+FVE!$F$54)),(1754822.82*D24^0.69),IF(AND(D24&lt;=200,(J24-0.6*(FVE!$D$54+FVE!$F$54))&gt;(J24+'Bateriová úložiště'!$D$53-(FVE!$D$54+FVE!$F$54)),(0.6*(FVE!$D$54+FVE!$F$54)-J23)&gt;0),1754822.82*(((0.6*(FVE!$D$54+FVE!$F$54)-J23)/6.2807)^(1/0.959))^0.69,IF(AND(D24&lt;=200,(J24-0.6*(FVE!$D$54+FVE!$F$54))&lt;=(J24+'Bateriová úložiště'!$D$53-(FVE!$D$54+FVE!$F$54)),((FVE!$D$54+FVE!$F$54)-'Bateriová úložiště'!$D$53-J23)&gt;0),1754822.82*(((J24-(J24+'Bateriová úložiště'!$D$53-(FVE!$D$54+FVE!$F$54))-J23)/6.2807)^(1/0.959))^0.69,IF(AND(D24&gt;200,J24&lt;=0.6*(FVE!$D$54+FVE!$F$54),(J24+'Bateriová úložiště'!$D$53)&lt;=(FVE!$D$54+FVE!$F$54)),(1559103.03*D24^0.71),IF(AND(D24&gt;200,(J24-0.6*(FVE!$D$54+FVE!$F$54))&gt;(J24+'Bateriová úložiště'!$D$53-(FVE!$D$54+FVE!$F$54)),(0.6*(FVE!$D$54+FVE!$F$54)-J23)&gt;0),1559103.03*((((0.6*(FVE!$D$54+FVE!$F$54)-J23))/6.2807)^(1/0.959))^0.71,IF(AND(D24&gt;200,(J24-0.6*(FVE!$D$54+FVE!$F$54))&lt;=(J24+'Bateriová úložiště'!$D$53-(FVE!$D$54+FVE!$F$54)),((FVE!$D$54+FVE!$F$54)-'Bateriová úložiště'!$D$53-J23)&gt;0),1559103.03*(((J24-(J24+'Bateriová úložiště'!$D$53-(FVE!$D$54+FVE!$F$54))-J23)/6.2807)^(1/0.959))^0.71,0)))))))</f>
        <v>0</v>
      </c>
      <c r="I24" s="24">
        <f t="shared" si="5"/>
        <v>0</v>
      </c>
      <c r="J24" s="24">
        <f>SUM($I$3:I24)</f>
        <v>0</v>
      </c>
      <c r="K24" s="24"/>
      <c r="L24" s="24" t="e">
        <f t="shared" si="0"/>
        <v>#VALUE!</v>
      </c>
      <c r="M24" s="24" t="e">
        <f>6.2807*(SUM(ABS($F$3:F24))^0.959)</f>
        <v>#VALUE!</v>
      </c>
      <c r="N24" s="14"/>
      <c r="O24" s="14"/>
      <c r="P24" s="14"/>
      <c r="Q24" s="14"/>
      <c r="R24" s="14"/>
      <c r="S24" s="14"/>
      <c r="T24" s="14"/>
      <c r="U24" s="14"/>
    </row>
    <row r="25" spans="1:21" ht="16.5" thickTop="1" thickBot="1" x14ac:dyDescent="0.3">
      <c r="A25" s="159"/>
      <c r="B25" s="91"/>
      <c r="C25" s="5"/>
      <c r="D25" s="95"/>
      <c r="E25" s="76"/>
      <c r="F25" s="77" t="str">
        <f>IF(OR(AND(D25&gt;0.0001,D25&lt;3),D25&gt;5000),"MIMO POVOLENÝ ROZSAH",IF(AND('Bateriová úložiště'!$D$53&lt;(FVE!$D$54+FVE!$F$54),J25&lt;0.1*(FVE!$D$54+FVE!$F$54)),-((ABS(J25-0.1*(FVE!$D$54+FVE!$F$54))/6.2807)^(1/0.959)),IF(AND('Bateriová úložiště'!$D$53&lt;(FVE!$D$54+FVE!$F$54),J25&gt;=0.1*(FVE!$D$54+FVE!$F$54),J25&lt;=0.6*(FVE!$D$54+FVE!$F$54),(J25+'Bateriová úložiště'!$D$53)&lt;(FVE!$D$54+FVE!$F$54),(J25-0.6*(FVE!$D$54+FVE!$F$54))&lt;(J25+'Bateriová úložiště'!$D$53-(FVE!$D$54+FVE!$F$54))),(((FVE!$D$54+FVE!$F$54)-(J25+'Bateriová úložiště'!$D$53))/6.2807)^(1/0.959),IF(AND('Bateriová úložiště'!$D$53&lt;(FVE!$D$54+FVE!$F$54),J25&gt;=0.1*(FVE!$D$54+FVE!$F$54),J25&lt;=0.6*(FVE!$D$54+FVE!$F$54),(J25+'Bateriová úložiště'!$D$53)&lt;(FVE!$D$54+FVE!$F$54),(J25-0.6*(FVE!$D$54+FVE!$F$54))&gt;=(J25+'Bateriová úložiště'!$D$53-(FVE!$D$54+FVE!$F$54))),((0.6*(FVE!$D$54+FVE!$F$54)-J25)/6.2807)^(1/0.959),IF(AND(OR((J25+'Bateriová úložiště'!$D$53)&gt;=(FVE!$D$54+FVE!$F$54),J25&gt;=0.6*(FVE!$D$54+FVE!$F$54)),(J24+'Bateriová úložiště'!$D$53)&lt;(FVE!$D$54+FVE!$F$54),J24&lt;0.6*(FVE!$D$54+FVE!$F$54)),"MAX. DOTACE BYLA DOSAŽENA (100% VÝKONU FVE) - DALŠÍ VÝDAJE JSOU NEZPŮSOBILÉ",IF(OR(J24&gt;=0.6*(FVE!$D$54+FVE!$F$54),(J24+'Bateriová úložiště'!$D$53))&gt;=(FVE!$D$54+FVE!$F$54),""))))))</f>
        <v/>
      </c>
      <c r="G25" s="162"/>
      <c r="H25" s="24">
        <f>IF(OR(D25&lt;3,D25&gt;5000,$I$53&lt;0.1*(FVE!$D$54+FVE!$F$54),'Bateriová úložiště'!$D$53&gt;=(FVE!$D$54+FVE!$F$54)),0,IF(AND(D25&lt;=200,J25&lt;=0.6*(FVE!$D$54+FVE!$F$54),(J25+'Bateriová úložiště'!$D$53)&lt;=(FVE!$D$54+FVE!$F$54)),(1754822.82*D25^0.69),IF(AND(D25&lt;=200,(J25-0.6*(FVE!$D$54+FVE!$F$54))&gt;(J25+'Bateriová úložiště'!$D$53-(FVE!$D$54+FVE!$F$54)),(0.6*(FVE!$D$54+FVE!$F$54)-J24)&gt;0),1754822.82*(((0.6*(FVE!$D$54+FVE!$F$54)-J24)/6.2807)^(1/0.959))^0.69,IF(AND(D25&lt;=200,(J25-0.6*(FVE!$D$54+FVE!$F$54))&lt;=(J25+'Bateriová úložiště'!$D$53-(FVE!$D$54+FVE!$F$54)),((FVE!$D$54+FVE!$F$54)-'Bateriová úložiště'!$D$53-J24)&gt;0),1754822.82*(((J25-(J25+'Bateriová úložiště'!$D$53-(FVE!$D$54+FVE!$F$54))-J24)/6.2807)^(1/0.959))^0.69,IF(AND(D25&gt;200,J25&lt;=0.6*(FVE!$D$54+FVE!$F$54),(J25+'Bateriová úložiště'!$D$53)&lt;=(FVE!$D$54+FVE!$F$54)),(1559103.03*D25^0.71),IF(AND(D25&gt;200,(J25-0.6*(FVE!$D$54+FVE!$F$54))&gt;(J25+'Bateriová úložiště'!$D$53-(FVE!$D$54+FVE!$F$54)),(0.6*(FVE!$D$54+FVE!$F$54)-J24)&gt;0),1559103.03*((((0.6*(FVE!$D$54+FVE!$F$54)-J24))/6.2807)^(1/0.959))^0.71,IF(AND(D25&gt;200,(J25-0.6*(FVE!$D$54+FVE!$F$54))&lt;=(J25+'Bateriová úložiště'!$D$53-(FVE!$D$54+FVE!$F$54)),((FVE!$D$54+FVE!$F$54)-'Bateriová úložiště'!$D$53-J24)&gt;0),1559103.03*(((J25-(J25+'Bateriová úložiště'!$D$53-(FVE!$D$54+FVE!$F$54))-J24)/6.2807)^(1/0.959))^0.71,0)))))))</f>
        <v>0</v>
      </c>
      <c r="I25" s="24">
        <f t="shared" si="5"/>
        <v>0</v>
      </c>
      <c r="J25" s="24">
        <f>SUM($I$3:I25)</f>
        <v>0</v>
      </c>
      <c r="K25" s="24"/>
      <c r="L25" s="24" t="e">
        <f t="shared" si="0"/>
        <v>#VALUE!</v>
      </c>
      <c r="M25" s="24" t="e">
        <f>6.2807*(SUM(ABS($F$3:F25))^0.959)</f>
        <v>#VALUE!</v>
      </c>
      <c r="N25" s="14"/>
      <c r="O25" s="14"/>
      <c r="P25" s="14"/>
      <c r="Q25" s="14"/>
      <c r="R25" s="14"/>
      <c r="S25" s="14"/>
      <c r="T25" s="14"/>
      <c r="U25" s="14"/>
    </row>
    <row r="26" spans="1:21" ht="16.5" thickTop="1" thickBot="1" x14ac:dyDescent="0.3">
      <c r="A26" s="159"/>
      <c r="B26" s="91"/>
      <c r="C26" s="5"/>
      <c r="D26" s="95"/>
      <c r="E26" s="76"/>
      <c r="F26" s="77" t="str">
        <f>IF(OR(AND(D26&gt;0.0001,D26&lt;3),D26&gt;5000),"MIMO POVOLENÝ ROZSAH",IF(AND('Bateriová úložiště'!$D$53&lt;(FVE!$D$54+FVE!$F$54),J26&lt;0.1*(FVE!$D$54+FVE!$F$54)),-((ABS(J26-0.1*(FVE!$D$54+FVE!$F$54))/6.2807)^(1/0.959)),IF(AND('Bateriová úložiště'!$D$53&lt;(FVE!$D$54+FVE!$F$54),J26&gt;=0.1*(FVE!$D$54+FVE!$F$54),J26&lt;=0.6*(FVE!$D$54+FVE!$F$54),(J26+'Bateriová úložiště'!$D$53)&lt;(FVE!$D$54+FVE!$F$54),(J26-0.6*(FVE!$D$54+FVE!$F$54))&lt;(J26+'Bateriová úložiště'!$D$53-(FVE!$D$54+FVE!$F$54))),(((FVE!$D$54+FVE!$F$54)-(J26+'Bateriová úložiště'!$D$53))/6.2807)^(1/0.959),IF(AND('Bateriová úložiště'!$D$53&lt;(FVE!$D$54+FVE!$F$54),J26&gt;=0.1*(FVE!$D$54+FVE!$F$54),J26&lt;=0.6*(FVE!$D$54+FVE!$F$54),(J26+'Bateriová úložiště'!$D$53)&lt;(FVE!$D$54+FVE!$F$54),(J26-0.6*(FVE!$D$54+FVE!$F$54))&gt;=(J26+'Bateriová úložiště'!$D$53-(FVE!$D$54+FVE!$F$54))),((0.6*(FVE!$D$54+FVE!$F$54)-J26)/6.2807)^(1/0.959),IF(AND(OR((J26+'Bateriová úložiště'!$D$53)&gt;=(FVE!$D$54+FVE!$F$54),J26&gt;=0.6*(FVE!$D$54+FVE!$F$54)),(J25+'Bateriová úložiště'!$D$53)&lt;(FVE!$D$54+FVE!$F$54),J25&lt;0.6*(FVE!$D$54+FVE!$F$54)),"MAX. DOTACE BYLA DOSAŽENA (100% VÝKONU FVE) - DALŠÍ VÝDAJE JSOU NEZPŮSOBILÉ",IF(OR(J25&gt;=0.6*(FVE!$D$54+FVE!$F$54),(J25+'Bateriová úložiště'!$D$53))&gt;=(FVE!$D$54+FVE!$F$54),""))))))</f>
        <v/>
      </c>
      <c r="G26" s="162"/>
      <c r="H26" s="24">
        <f>IF(OR(D26&lt;3,D26&gt;5000,$I$53&lt;0.1*(FVE!$D$54+FVE!$F$54),'Bateriová úložiště'!$D$53&gt;=(FVE!$D$54+FVE!$F$54)),0,IF(AND(D26&lt;=200,J26&lt;=0.6*(FVE!$D$54+FVE!$F$54),(J26+'Bateriová úložiště'!$D$53)&lt;=(FVE!$D$54+FVE!$F$54)),(1754822.82*D26^0.69),IF(AND(D26&lt;=200,(J26-0.6*(FVE!$D$54+FVE!$F$54))&gt;(J26+'Bateriová úložiště'!$D$53-(FVE!$D$54+FVE!$F$54)),(0.6*(FVE!$D$54+FVE!$F$54)-J25)&gt;0),1754822.82*(((0.6*(FVE!$D$54+FVE!$F$54)-J25)/6.2807)^(1/0.959))^0.69,IF(AND(D26&lt;=200,(J26-0.6*(FVE!$D$54+FVE!$F$54))&lt;=(J26+'Bateriová úložiště'!$D$53-(FVE!$D$54+FVE!$F$54)),((FVE!$D$54+FVE!$F$54)-'Bateriová úložiště'!$D$53-J25)&gt;0),1754822.82*(((J26-(J26+'Bateriová úložiště'!$D$53-(FVE!$D$54+FVE!$F$54))-J25)/6.2807)^(1/0.959))^0.69,IF(AND(D26&gt;200,J26&lt;=0.6*(FVE!$D$54+FVE!$F$54),(J26+'Bateriová úložiště'!$D$53)&lt;=(FVE!$D$54+FVE!$F$54)),(1559103.03*D26^0.71),IF(AND(D26&gt;200,(J26-0.6*(FVE!$D$54+FVE!$F$54))&gt;(J26+'Bateriová úložiště'!$D$53-(FVE!$D$54+FVE!$F$54)),(0.6*(FVE!$D$54+FVE!$F$54)-J25)&gt;0),1559103.03*((((0.6*(FVE!$D$54+FVE!$F$54)-J25))/6.2807)^(1/0.959))^0.71,IF(AND(D26&gt;200,(J26-0.6*(FVE!$D$54+FVE!$F$54))&lt;=(J26+'Bateriová úložiště'!$D$53-(FVE!$D$54+FVE!$F$54)),((FVE!$D$54+FVE!$F$54)-'Bateriová úložiště'!$D$53-J25)&gt;0),1559103.03*(((J26-(J26+'Bateriová úložiště'!$D$53-(FVE!$D$54+FVE!$F$54))-J25)/6.2807)^(1/0.959))^0.71,0)))))))</f>
        <v>0</v>
      </c>
      <c r="I26" s="24">
        <f t="shared" si="5"/>
        <v>0</v>
      </c>
      <c r="J26" s="24">
        <f>SUM($I$3:I26)</f>
        <v>0</v>
      </c>
      <c r="K26" s="24"/>
      <c r="L26" s="24" t="e">
        <f t="shared" si="0"/>
        <v>#VALUE!</v>
      </c>
      <c r="M26" s="24" t="e">
        <f>6.2807*(SUM(ABS($F$3:F26))^0.959)</f>
        <v>#VALUE!</v>
      </c>
      <c r="N26" s="14"/>
      <c r="O26" s="14"/>
      <c r="P26" s="14"/>
      <c r="Q26" s="14"/>
      <c r="R26" s="14"/>
      <c r="S26" s="14"/>
      <c r="T26" s="14"/>
      <c r="U26" s="14"/>
    </row>
    <row r="27" spans="1:21" ht="16.5" thickTop="1" thickBot="1" x14ac:dyDescent="0.3">
      <c r="A27" s="159"/>
      <c r="B27" s="91"/>
      <c r="C27" s="5"/>
      <c r="D27" s="95"/>
      <c r="E27" s="76"/>
      <c r="F27" s="77" t="str">
        <f>IF(OR(AND(D27&gt;0.0001,D27&lt;3),D27&gt;5000),"MIMO POVOLENÝ ROZSAH",IF(AND('Bateriová úložiště'!$D$53&lt;(FVE!$D$54+FVE!$F$54),J27&lt;0.1*(FVE!$D$54+FVE!$F$54)),-((ABS(J27-0.1*(FVE!$D$54+FVE!$F$54))/6.2807)^(1/0.959)),IF(AND('Bateriová úložiště'!$D$53&lt;(FVE!$D$54+FVE!$F$54),J27&gt;=0.1*(FVE!$D$54+FVE!$F$54),J27&lt;=0.6*(FVE!$D$54+FVE!$F$54),(J27+'Bateriová úložiště'!$D$53)&lt;(FVE!$D$54+FVE!$F$54),(J27-0.6*(FVE!$D$54+FVE!$F$54))&lt;(J27+'Bateriová úložiště'!$D$53-(FVE!$D$54+FVE!$F$54))),(((FVE!$D$54+FVE!$F$54)-(J27+'Bateriová úložiště'!$D$53))/6.2807)^(1/0.959),IF(AND('Bateriová úložiště'!$D$53&lt;(FVE!$D$54+FVE!$F$54),J27&gt;=0.1*(FVE!$D$54+FVE!$F$54),J27&lt;=0.6*(FVE!$D$54+FVE!$F$54),(J27+'Bateriová úložiště'!$D$53)&lt;(FVE!$D$54+FVE!$F$54),(J27-0.6*(FVE!$D$54+FVE!$F$54))&gt;=(J27+'Bateriová úložiště'!$D$53-(FVE!$D$54+FVE!$F$54))),((0.6*(FVE!$D$54+FVE!$F$54)-J27)/6.2807)^(1/0.959),IF(AND(OR((J27+'Bateriová úložiště'!$D$53)&gt;=(FVE!$D$54+FVE!$F$54),J27&gt;=0.6*(FVE!$D$54+FVE!$F$54)),(J26+'Bateriová úložiště'!$D$53)&lt;(FVE!$D$54+FVE!$F$54),J26&lt;0.6*(FVE!$D$54+FVE!$F$54)),"MAX. DOTACE BYLA DOSAŽENA (100% VÝKONU FVE) - DALŠÍ VÝDAJE JSOU NEZPŮSOBILÉ",IF(OR(J26&gt;=0.6*(FVE!$D$54+FVE!$F$54),(J26+'Bateriová úložiště'!$D$53))&gt;=(FVE!$D$54+FVE!$F$54),""))))))</f>
        <v/>
      </c>
      <c r="G27" s="162"/>
      <c r="H27" s="24">
        <f>IF(OR(D27&lt;3,D27&gt;5000,$I$53&lt;0.1*(FVE!$D$54+FVE!$F$54),'Bateriová úložiště'!$D$53&gt;=(FVE!$D$54+FVE!$F$54)),0,IF(AND(D27&lt;=200,J27&lt;=0.6*(FVE!$D$54+FVE!$F$54),(J27+'Bateriová úložiště'!$D$53)&lt;=(FVE!$D$54+FVE!$F$54)),(1754822.82*D27^0.69),IF(AND(D27&lt;=200,(J27-0.6*(FVE!$D$54+FVE!$F$54))&gt;(J27+'Bateriová úložiště'!$D$53-(FVE!$D$54+FVE!$F$54)),(0.6*(FVE!$D$54+FVE!$F$54)-J26)&gt;0),1754822.82*(((0.6*(FVE!$D$54+FVE!$F$54)-J26)/6.2807)^(1/0.959))^0.69,IF(AND(D27&lt;=200,(J27-0.6*(FVE!$D$54+FVE!$F$54))&lt;=(J27+'Bateriová úložiště'!$D$53-(FVE!$D$54+FVE!$F$54)),((FVE!$D$54+FVE!$F$54)-'Bateriová úložiště'!$D$53-J26)&gt;0),1754822.82*(((J27-(J27+'Bateriová úložiště'!$D$53-(FVE!$D$54+FVE!$F$54))-J26)/6.2807)^(1/0.959))^0.69,IF(AND(D27&gt;200,J27&lt;=0.6*(FVE!$D$54+FVE!$F$54),(J27+'Bateriová úložiště'!$D$53)&lt;=(FVE!$D$54+FVE!$F$54)),(1559103.03*D27^0.71),IF(AND(D27&gt;200,(J27-0.6*(FVE!$D$54+FVE!$F$54))&gt;(J27+'Bateriová úložiště'!$D$53-(FVE!$D$54+FVE!$F$54)),(0.6*(FVE!$D$54+FVE!$F$54)-J26)&gt;0),1559103.03*((((0.6*(FVE!$D$54+FVE!$F$54)-J26))/6.2807)^(1/0.959))^0.71,IF(AND(D27&gt;200,(J27-0.6*(FVE!$D$54+FVE!$F$54))&lt;=(J27+'Bateriová úložiště'!$D$53-(FVE!$D$54+FVE!$F$54)),((FVE!$D$54+FVE!$F$54)-'Bateriová úložiště'!$D$53-J26)&gt;0),1559103.03*(((J27-(J27+'Bateriová úložiště'!$D$53-(FVE!$D$54+FVE!$F$54))-J26)/6.2807)^(1/0.959))^0.71,0)))))))</f>
        <v>0</v>
      </c>
      <c r="I27" s="24">
        <f t="shared" si="5"/>
        <v>0</v>
      </c>
      <c r="J27" s="24">
        <f>SUM($I$3:I27)</f>
        <v>0</v>
      </c>
      <c r="K27" s="24"/>
      <c r="L27" s="24" t="e">
        <f t="shared" si="0"/>
        <v>#VALUE!</v>
      </c>
      <c r="M27" s="24" t="e">
        <f>6.2807*(SUM(ABS($F$3:F27))^0.959)</f>
        <v>#VALUE!</v>
      </c>
      <c r="N27" s="14"/>
      <c r="O27" s="14"/>
      <c r="P27" s="14"/>
      <c r="Q27" s="14"/>
      <c r="R27" s="14"/>
      <c r="S27" s="14"/>
      <c r="T27" s="14"/>
      <c r="U27" s="14"/>
    </row>
    <row r="28" spans="1:21" ht="16.5" thickTop="1" thickBot="1" x14ac:dyDescent="0.3">
      <c r="A28" s="159"/>
      <c r="B28" s="91"/>
      <c r="C28" s="5"/>
      <c r="D28" s="95"/>
      <c r="E28" s="76"/>
      <c r="F28" s="77" t="str">
        <f>IF(OR(AND(D28&gt;0.0001,D28&lt;3),D28&gt;5000),"MIMO POVOLENÝ ROZSAH",IF(AND('Bateriová úložiště'!$D$53&lt;(FVE!$D$54+FVE!$F$54),J28&lt;0.1*(FVE!$D$54+FVE!$F$54)),-((ABS(J28-0.1*(FVE!$D$54+FVE!$F$54))/6.2807)^(1/0.959)),IF(AND('Bateriová úložiště'!$D$53&lt;(FVE!$D$54+FVE!$F$54),J28&gt;=0.1*(FVE!$D$54+FVE!$F$54),J28&lt;=0.6*(FVE!$D$54+FVE!$F$54),(J28+'Bateriová úložiště'!$D$53)&lt;(FVE!$D$54+FVE!$F$54),(J28-0.6*(FVE!$D$54+FVE!$F$54))&lt;(J28+'Bateriová úložiště'!$D$53-(FVE!$D$54+FVE!$F$54))),(((FVE!$D$54+FVE!$F$54)-(J28+'Bateriová úložiště'!$D$53))/6.2807)^(1/0.959),IF(AND('Bateriová úložiště'!$D$53&lt;(FVE!$D$54+FVE!$F$54),J28&gt;=0.1*(FVE!$D$54+FVE!$F$54),J28&lt;=0.6*(FVE!$D$54+FVE!$F$54),(J28+'Bateriová úložiště'!$D$53)&lt;(FVE!$D$54+FVE!$F$54),(J28-0.6*(FVE!$D$54+FVE!$F$54))&gt;=(J28+'Bateriová úložiště'!$D$53-(FVE!$D$54+FVE!$F$54))),((0.6*(FVE!$D$54+FVE!$F$54)-J28)/6.2807)^(1/0.959),IF(AND(OR((J28+'Bateriová úložiště'!$D$53)&gt;=(FVE!$D$54+FVE!$F$54),J28&gt;=0.6*(FVE!$D$54+FVE!$F$54)),(J27+'Bateriová úložiště'!$D$53)&lt;(FVE!$D$54+FVE!$F$54),J27&lt;0.6*(FVE!$D$54+FVE!$F$54)),"MAX. DOTACE BYLA DOSAŽENA (100% VÝKONU FVE) - DALŠÍ VÝDAJE JSOU NEZPŮSOBILÉ",IF(OR(J27&gt;=0.6*(FVE!$D$54+FVE!$F$54),(J27+'Bateriová úložiště'!$D$53))&gt;=(FVE!$D$54+FVE!$F$54),""))))))</f>
        <v/>
      </c>
      <c r="G28" s="162"/>
      <c r="H28" s="24">
        <f>IF(OR(D28&lt;3,D28&gt;5000,$I$53&lt;0.1*(FVE!$D$54+FVE!$F$54),'Bateriová úložiště'!$D$53&gt;=(FVE!$D$54+FVE!$F$54)),0,IF(AND(D28&lt;=200,J28&lt;=0.6*(FVE!$D$54+FVE!$F$54),(J28+'Bateriová úložiště'!$D$53)&lt;=(FVE!$D$54+FVE!$F$54)),(1754822.82*D28^0.69),IF(AND(D28&lt;=200,(J28-0.6*(FVE!$D$54+FVE!$F$54))&gt;(J28+'Bateriová úložiště'!$D$53-(FVE!$D$54+FVE!$F$54)),(0.6*(FVE!$D$54+FVE!$F$54)-J27)&gt;0),1754822.82*(((0.6*(FVE!$D$54+FVE!$F$54)-J27)/6.2807)^(1/0.959))^0.69,IF(AND(D28&lt;=200,(J28-0.6*(FVE!$D$54+FVE!$F$54))&lt;=(J28+'Bateriová úložiště'!$D$53-(FVE!$D$54+FVE!$F$54)),((FVE!$D$54+FVE!$F$54)-'Bateriová úložiště'!$D$53-J27)&gt;0),1754822.82*(((J28-(J28+'Bateriová úložiště'!$D$53-(FVE!$D$54+FVE!$F$54))-J27)/6.2807)^(1/0.959))^0.69,IF(AND(D28&gt;200,J28&lt;=0.6*(FVE!$D$54+FVE!$F$54),(J28+'Bateriová úložiště'!$D$53)&lt;=(FVE!$D$54+FVE!$F$54)),(1559103.03*D28^0.71),IF(AND(D28&gt;200,(J28-0.6*(FVE!$D$54+FVE!$F$54))&gt;(J28+'Bateriová úložiště'!$D$53-(FVE!$D$54+FVE!$F$54)),(0.6*(FVE!$D$54+FVE!$F$54)-J27)&gt;0),1559103.03*((((0.6*(FVE!$D$54+FVE!$F$54)-J27))/6.2807)^(1/0.959))^0.71,IF(AND(D28&gt;200,(J28-0.6*(FVE!$D$54+FVE!$F$54))&lt;=(J28+'Bateriová úložiště'!$D$53-(FVE!$D$54+FVE!$F$54)),((FVE!$D$54+FVE!$F$54)-'Bateriová úložiště'!$D$53-J27)&gt;0),1559103.03*(((J28-(J28+'Bateriová úložiště'!$D$53-(FVE!$D$54+FVE!$F$54))-J27)/6.2807)^(1/0.959))^0.71,0)))))))</f>
        <v>0</v>
      </c>
      <c r="I28" s="24">
        <f t="shared" si="5"/>
        <v>0</v>
      </c>
      <c r="J28" s="24">
        <f>SUM($I$3:I28)</f>
        <v>0</v>
      </c>
      <c r="K28" s="24"/>
      <c r="L28" s="24" t="e">
        <f t="shared" si="0"/>
        <v>#VALUE!</v>
      </c>
      <c r="M28" s="24" t="e">
        <f>6.2807*(SUM(ABS($F$3:F28))^0.959)</f>
        <v>#VALUE!</v>
      </c>
      <c r="N28" s="14"/>
      <c r="O28" s="14"/>
      <c r="P28" s="14"/>
      <c r="Q28" s="14"/>
      <c r="R28" s="14"/>
      <c r="S28" s="14"/>
      <c r="T28" s="14"/>
      <c r="U28" s="14"/>
    </row>
    <row r="29" spans="1:21" ht="16.5" thickTop="1" thickBot="1" x14ac:dyDescent="0.3">
      <c r="A29" s="159"/>
      <c r="B29" s="91"/>
      <c r="C29" s="5"/>
      <c r="D29" s="95"/>
      <c r="E29" s="76"/>
      <c r="F29" s="77" t="str">
        <f>IF(OR(AND(D29&gt;0.0001,D29&lt;3),D29&gt;5000),"MIMO POVOLENÝ ROZSAH",IF(AND('Bateriová úložiště'!$D$53&lt;(FVE!$D$54+FVE!$F$54),J29&lt;0.1*(FVE!$D$54+FVE!$F$54)),-((ABS(J29-0.1*(FVE!$D$54+FVE!$F$54))/6.2807)^(1/0.959)),IF(AND('Bateriová úložiště'!$D$53&lt;(FVE!$D$54+FVE!$F$54),J29&gt;=0.1*(FVE!$D$54+FVE!$F$54),J29&lt;=0.6*(FVE!$D$54+FVE!$F$54),(J29+'Bateriová úložiště'!$D$53)&lt;(FVE!$D$54+FVE!$F$54),(J29-0.6*(FVE!$D$54+FVE!$F$54))&lt;(J29+'Bateriová úložiště'!$D$53-(FVE!$D$54+FVE!$F$54))),(((FVE!$D$54+FVE!$F$54)-(J29+'Bateriová úložiště'!$D$53))/6.2807)^(1/0.959),IF(AND('Bateriová úložiště'!$D$53&lt;(FVE!$D$54+FVE!$F$54),J29&gt;=0.1*(FVE!$D$54+FVE!$F$54),J29&lt;=0.6*(FVE!$D$54+FVE!$F$54),(J29+'Bateriová úložiště'!$D$53)&lt;(FVE!$D$54+FVE!$F$54),(J29-0.6*(FVE!$D$54+FVE!$F$54))&gt;=(J29+'Bateriová úložiště'!$D$53-(FVE!$D$54+FVE!$F$54))),((0.6*(FVE!$D$54+FVE!$F$54)-J29)/6.2807)^(1/0.959),IF(AND(OR((J29+'Bateriová úložiště'!$D$53)&gt;=(FVE!$D$54+FVE!$F$54),J29&gt;=0.6*(FVE!$D$54+FVE!$F$54)),(J28+'Bateriová úložiště'!$D$53)&lt;(FVE!$D$54+FVE!$F$54),J28&lt;0.6*(FVE!$D$54+FVE!$F$54)),"MAX. DOTACE BYLA DOSAŽENA (100% VÝKONU FVE) - DALŠÍ VÝDAJE JSOU NEZPŮSOBILÉ",IF(OR(J28&gt;=0.6*(FVE!$D$54+FVE!$F$54),(J28+'Bateriová úložiště'!$D$53))&gt;=(FVE!$D$54+FVE!$F$54),""))))))</f>
        <v/>
      </c>
      <c r="G29" s="162"/>
      <c r="H29" s="24">
        <f>IF(OR(D29&lt;3,D29&gt;5000,$I$53&lt;0.1*(FVE!$D$54+FVE!$F$54),'Bateriová úložiště'!$D$53&gt;=(FVE!$D$54+FVE!$F$54)),0,IF(AND(D29&lt;=200,J29&lt;=0.6*(FVE!$D$54+FVE!$F$54),(J29+'Bateriová úložiště'!$D$53)&lt;=(FVE!$D$54+FVE!$F$54)),(1754822.82*D29^0.69),IF(AND(D29&lt;=200,(J29-0.6*(FVE!$D$54+FVE!$F$54))&gt;(J29+'Bateriová úložiště'!$D$53-(FVE!$D$54+FVE!$F$54)),(0.6*(FVE!$D$54+FVE!$F$54)-J28)&gt;0),1754822.82*(((0.6*(FVE!$D$54+FVE!$F$54)-J28)/6.2807)^(1/0.959))^0.69,IF(AND(D29&lt;=200,(J29-0.6*(FVE!$D$54+FVE!$F$54))&lt;=(J29+'Bateriová úložiště'!$D$53-(FVE!$D$54+FVE!$F$54)),((FVE!$D$54+FVE!$F$54)-'Bateriová úložiště'!$D$53-J28)&gt;0),1754822.82*(((J29-(J29+'Bateriová úložiště'!$D$53-(FVE!$D$54+FVE!$F$54))-J28)/6.2807)^(1/0.959))^0.69,IF(AND(D29&gt;200,J29&lt;=0.6*(FVE!$D$54+FVE!$F$54),(J29+'Bateriová úložiště'!$D$53)&lt;=(FVE!$D$54+FVE!$F$54)),(1559103.03*D29^0.71),IF(AND(D29&gt;200,(J29-0.6*(FVE!$D$54+FVE!$F$54))&gt;(J29+'Bateriová úložiště'!$D$53-(FVE!$D$54+FVE!$F$54)),(0.6*(FVE!$D$54+FVE!$F$54)-J28)&gt;0),1559103.03*((((0.6*(FVE!$D$54+FVE!$F$54)-J28))/6.2807)^(1/0.959))^0.71,IF(AND(D29&gt;200,(J29-0.6*(FVE!$D$54+FVE!$F$54))&lt;=(J29+'Bateriová úložiště'!$D$53-(FVE!$D$54+FVE!$F$54)),((FVE!$D$54+FVE!$F$54)-'Bateriová úložiště'!$D$53-J28)&gt;0),1559103.03*(((J29-(J29+'Bateriová úložiště'!$D$53-(FVE!$D$54+FVE!$F$54))-J28)/6.2807)^(1/0.959))^0.71,0)))))))</f>
        <v>0</v>
      </c>
      <c r="I29" s="24">
        <f t="shared" si="5"/>
        <v>0</v>
      </c>
      <c r="J29" s="24">
        <f>SUM($I$3:I29)</f>
        <v>0</v>
      </c>
      <c r="K29" s="24"/>
      <c r="L29" s="24" t="e">
        <f t="shared" si="0"/>
        <v>#VALUE!</v>
      </c>
      <c r="M29" s="24" t="e">
        <f>6.2807*(SUM(ABS($F$3:F29))^0.959)</f>
        <v>#VALUE!</v>
      </c>
      <c r="N29" s="14"/>
      <c r="O29" s="14"/>
      <c r="P29" s="14"/>
      <c r="Q29" s="14"/>
      <c r="R29" s="14"/>
      <c r="S29" s="14"/>
      <c r="T29" s="14"/>
      <c r="U29" s="14"/>
    </row>
    <row r="30" spans="1:21" ht="16.5" thickTop="1" thickBot="1" x14ac:dyDescent="0.3">
      <c r="A30" s="159"/>
      <c r="B30" s="92"/>
      <c r="C30" s="5"/>
      <c r="D30" s="95"/>
      <c r="E30" s="76"/>
      <c r="F30" s="77" t="str">
        <f>IF(OR(AND(D30&gt;0.0001,D30&lt;3),D30&gt;5000),"MIMO POVOLENÝ ROZSAH",IF(AND('Bateriová úložiště'!$D$53&lt;(FVE!$D$54+FVE!$F$54),J30&lt;0.1*(FVE!$D$54+FVE!$F$54)),-((ABS(J30-0.1*(FVE!$D$54+FVE!$F$54))/6.2807)^(1/0.959)),IF(AND('Bateriová úložiště'!$D$53&lt;(FVE!$D$54+FVE!$F$54),J30&gt;=0.1*(FVE!$D$54+FVE!$F$54),J30&lt;=0.6*(FVE!$D$54+FVE!$F$54),(J30+'Bateriová úložiště'!$D$53)&lt;(FVE!$D$54+FVE!$F$54),(J30-0.6*(FVE!$D$54+FVE!$F$54))&lt;(J30+'Bateriová úložiště'!$D$53-(FVE!$D$54+FVE!$F$54))),(((FVE!$D$54+FVE!$F$54)-(J30+'Bateriová úložiště'!$D$53))/6.2807)^(1/0.959),IF(AND('Bateriová úložiště'!$D$53&lt;(FVE!$D$54+FVE!$F$54),J30&gt;=0.1*(FVE!$D$54+FVE!$F$54),J30&lt;=0.6*(FVE!$D$54+FVE!$F$54),(J30+'Bateriová úložiště'!$D$53)&lt;(FVE!$D$54+FVE!$F$54),(J30-0.6*(FVE!$D$54+FVE!$F$54))&gt;=(J30+'Bateriová úložiště'!$D$53-(FVE!$D$54+FVE!$F$54))),((0.6*(FVE!$D$54+FVE!$F$54)-J30)/6.2807)^(1/0.959),IF(AND(OR((J30+'Bateriová úložiště'!$D$53)&gt;=(FVE!$D$54+FVE!$F$54),J30&gt;=0.6*(FVE!$D$54+FVE!$F$54)),(J29+'Bateriová úložiště'!$D$53)&lt;(FVE!$D$54+FVE!$F$54),J29&lt;0.6*(FVE!$D$54+FVE!$F$54)),"MAX. DOTACE BYLA DOSAŽENA (100% VÝKONU FVE) - DALŠÍ VÝDAJE JSOU NEZPŮSOBILÉ",IF(OR(J29&gt;=0.6*(FVE!$D$54+FVE!$F$54),(J29+'Bateriová úložiště'!$D$53))&gt;=(FVE!$D$54+FVE!$F$54),""))))))</f>
        <v/>
      </c>
      <c r="G30" s="162"/>
      <c r="H30" s="24">
        <f>IF(OR(D30&lt;3,D30&gt;5000,$I$53&lt;0.1*(FVE!$D$54+FVE!$F$54),'Bateriová úložiště'!$D$53&gt;=(FVE!$D$54+FVE!$F$54)),0,IF(AND(D30&lt;=200,J30&lt;=0.6*(FVE!$D$54+FVE!$F$54),(J30+'Bateriová úložiště'!$D$53)&lt;=(FVE!$D$54+FVE!$F$54)),(1754822.82*D30^0.69),IF(AND(D30&lt;=200,(J30-0.6*(FVE!$D$54+FVE!$F$54))&gt;(J30+'Bateriová úložiště'!$D$53-(FVE!$D$54+FVE!$F$54)),(0.6*(FVE!$D$54+FVE!$F$54)-J29)&gt;0),1754822.82*(((0.6*(FVE!$D$54+FVE!$F$54)-J29)/6.2807)^(1/0.959))^0.69,IF(AND(D30&lt;=200,(J30-0.6*(FVE!$D$54+FVE!$F$54))&lt;=(J30+'Bateriová úložiště'!$D$53-(FVE!$D$54+FVE!$F$54)),((FVE!$D$54+FVE!$F$54)-'Bateriová úložiště'!$D$53-J29)&gt;0),1754822.82*(((J30-(J30+'Bateriová úložiště'!$D$53-(FVE!$D$54+FVE!$F$54))-J29)/6.2807)^(1/0.959))^0.69,IF(AND(D30&gt;200,J30&lt;=0.6*(FVE!$D$54+FVE!$F$54),(J30+'Bateriová úložiště'!$D$53)&lt;=(FVE!$D$54+FVE!$F$54)),(1559103.03*D30^0.71),IF(AND(D30&gt;200,(J30-0.6*(FVE!$D$54+FVE!$F$54))&gt;(J30+'Bateriová úložiště'!$D$53-(FVE!$D$54+FVE!$F$54)),(0.6*(FVE!$D$54+FVE!$F$54)-J29)&gt;0),1559103.03*((((0.6*(FVE!$D$54+FVE!$F$54)-J29))/6.2807)^(1/0.959))^0.71,IF(AND(D30&gt;200,(J30-0.6*(FVE!$D$54+FVE!$F$54))&lt;=(J30+'Bateriová úložiště'!$D$53-(FVE!$D$54+FVE!$F$54)),((FVE!$D$54+FVE!$F$54)-'Bateriová úložiště'!$D$53-J29)&gt;0),1559103.03*(((J30-(J30+'Bateriová úložiště'!$D$53-(FVE!$D$54+FVE!$F$54))-J29)/6.2807)^(1/0.959))^0.71,0)))))))</f>
        <v>0</v>
      </c>
      <c r="I30" s="24">
        <f t="shared" si="5"/>
        <v>0</v>
      </c>
      <c r="J30" s="24">
        <f>SUM($I$3:I30)</f>
        <v>0</v>
      </c>
      <c r="K30" s="24"/>
      <c r="L30" s="24" t="e">
        <f t="shared" si="0"/>
        <v>#VALUE!</v>
      </c>
      <c r="M30" s="24" t="e">
        <f>6.2807*(SUM(ABS($F$3:F30))^0.959)</f>
        <v>#VALUE!</v>
      </c>
      <c r="N30" s="14"/>
      <c r="O30" s="14"/>
      <c r="P30" s="14"/>
      <c r="Q30" s="14"/>
      <c r="R30" s="14"/>
      <c r="S30" s="14"/>
      <c r="T30" s="14"/>
      <c r="U30" s="14"/>
    </row>
    <row r="31" spans="1:21" ht="16.5" thickTop="1" thickBot="1" x14ac:dyDescent="0.3">
      <c r="A31" s="159"/>
      <c r="B31" s="91"/>
      <c r="C31" s="5"/>
      <c r="D31" s="94"/>
      <c r="E31" s="76"/>
      <c r="F31" s="77" t="str">
        <f>IF(OR(AND(D31&gt;0.0001,D31&lt;3),D31&gt;5000),"MIMO POVOLENÝ ROZSAH",IF(AND('Bateriová úložiště'!$D$53&lt;(FVE!$D$54+FVE!$F$54),J31&lt;0.1*(FVE!$D$54+FVE!$F$54)),-((ABS(J31-0.1*(FVE!$D$54+FVE!$F$54))/6.2807)^(1/0.959)),IF(AND('Bateriová úložiště'!$D$53&lt;(FVE!$D$54+FVE!$F$54),J31&gt;=0.1*(FVE!$D$54+FVE!$F$54),J31&lt;=0.6*(FVE!$D$54+FVE!$F$54),(J31+'Bateriová úložiště'!$D$53)&lt;(FVE!$D$54+FVE!$F$54),(J31-0.6*(FVE!$D$54+FVE!$F$54))&lt;(J31+'Bateriová úložiště'!$D$53-(FVE!$D$54+FVE!$F$54))),(((FVE!$D$54+FVE!$F$54)-(J31+'Bateriová úložiště'!$D$53))/6.2807)^(1/0.959),IF(AND('Bateriová úložiště'!$D$53&lt;(FVE!$D$54+FVE!$F$54),J31&gt;=0.1*(FVE!$D$54+FVE!$F$54),J31&lt;=0.6*(FVE!$D$54+FVE!$F$54),(J31+'Bateriová úložiště'!$D$53)&lt;(FVE!$D$54+FVE!$F$54),(J31-0.6*(FVE!$D$54+FVE!$F$54))&gt;=(J31+'Bateriová úložiště'!$D$53-(FVE!$D$54+FVE!$F$54))),((0.6*(FVE!$D$54+FVE!$F$54)-J31)/6.2807)^(1/0.959),IF(AND(OR((J31+'Bateriová úložiště'!$D$53)&gt;=(FVE!$D$54+FVE!$F$54),J31&gt;=0.6*(FVE!$D$54+FVE!$F$54)),(J30+'Bateriová úložiště'!$D$53)&lt;(FVE!$D$54+FVE!$F$54),J30&lt;0.6*(FVE!$D$54+FVE!$F$54)),"MAX. DOTACE BYLA DOSAŽENA (100% VÝKONU FVE) - DALŠÍ VÝDAJE JSOU NEZPŮSOBILÉ",IF(OR(J30&gt;=0.6*(FVE!$D$54+FVE!$F$54),(J30+'Bateriová úložiště'!$D$53))&gt;=(FVE!$D$54+FVE!$F$54),""))))))</f>
        <v/>
      </c>
      <c r="G31" s="162"/>
      <c r="H31" s="24">
        <f>IF(OR(D31&lt;3,D31&gt;5000,$I$53&lt;0.1*(FVE!$D$54+FVE!$F$54),'Bateriová úložiště'!$D$53&gt;=(FVE!$D$54+FVE!$F$54)),0,IF(AND(D31&lt;=200,J31&lt;=0.6*(FVE!$D$54+FVE!$F$54),(J31+'Bateriová úložiště'!$D$53)&lt;=(FVE!$D$54+FVE!$F$54)),(1754822.82*D31^0.69),IF(AND(D31&lt;=200,(J31-0.6*(FVE!$D$54+FVE!$F$54))&gt;(J31+'Bateriová úložiště'!$D$53-(FVE!$D$54+FVE!$F$54)),(0.6*(FVE!$D$54+FVE!$F$54)-J30)&gt;0),1754822.82*(((0.6*(FVE!$D$54+FVE!$F$54)-J30)/6.2807)^(1/0.959))^0.69,IF(AND(D31&lt;=200,(J31-0.6*(FVE!$D$54+FVE!$F$54))&lt;=(J31+'Bateriová úložiště'!$D$53-(FVE!$D$54+FVE!$F$54)),((FVE!$D$54+FVE!$F$54)-'Bateriová úložiště'!$D$53-J30)&gt;0),1754822.82*(((J31-(J31+'Bateriová úložiště'!$D$53-(FVE!$D$54+FVE!$F$54))-J30)/6.2807)^(1/0.959))^0.69,IF(AND(D31&gt;200,J31&lt;=0.6*(FVE!$D$54+FVE!$F$54),(J31+'Bateriová úložiště'!$D$53)&lt;=(FVE!$D$54+FVE!$F$54)),(1559103.03*D31^0.71),IF(AND(D31&gt;200,(J31-0.6*(FVE!$D$54+FVE!$F$54))&gt;(J31+'Bateriová úložiště'!$D$53-(FVE!$D$54+FVE!$F$54)),(0.6*(FVE!$D$54+FVE!$F$54)-J30)&gt;0),1559103.03*((((0.6*(FVE!$D$54+FVE!$F$54)-J30))/6.2807)^(1/0.959))^0.71,IF(AND(D31&gt;200,(J31-0.6*(FVE!$D$54+FVE!$F$54))&lt;=(J31+'Bateriová úložiště'!$D$53-(FVE!$D$54+FVE!$F$54)),((FVE!$D$54+FVE!$F$54)-'Bateriová úložiště'!$D$53-J30)&gt;0),1559103.03*(((J31-(J31+'Bateriová úložiště'!$D$53-(FVE!$D$54+FVE!$F$54))-J30)/6.2807)^(1/0.959))^0.71,0)))))))</f>
        <v>0</v>
      </c>
      <c r="I31" s="24">
        <f t="shared" si="5"/>
        <v>0</v>
      </c>
      <c r="J31" s="24">
        <f>SUM($I$3:I31)</f>
        <v>0</v>
      </c>
      <c r="K31" s="24"/>
      <c r="L31" s="24" t="e">
        <f t="shared" si="0"/>
        <v>#VALUE!</v>
      </c>
      <c r="M31" s="24" t="e">
        <f>6.2807*(SUM(ABS($F$3:F31))^0.959)</f>
        <v>#VALUE!</v>
      </c>
      <c r="N31" s="14"/>
      <c r="O31" s="14"/>
      <c r="P31" s="14"/>
      <c r="Q31" s="14"/>
      <c r="R31" s="14"/>
      <c r="S31" s="14"/>
      <c r="T31" s="14"/>
      <c r="U31" s="14"/>
    </row>
    <row r="32" spans="1:21" ht="16.5" thickTop="1" thickBot="1" x14ac:dyDescent="0.3">
      <c r="A32" s="159"/>
      <c r="B32" s="91"/>
      <c r="C32" s="5"/>
      <c r="D32" s="95"/>
      <c r="E32" s="76"/>
      <c r="F32" s="77" t="str">
        <f>IF(OR(AND(D32&gt;0.0001,D32&lt;3),D32&gt;5000),"MIMO POVOLENÝ ROZSAH",IF(AND('Bateriová úložiště'!$D$53&lt;(FVE!$D$54+FVE!$F$54),J32&lt;0.1*(FVE!$D$54+FVE!$F$54)),-((ABS(J32-0.1*(FVE!$D$54+FVE!$F$54))/6.2807)^(1/0.959)),IF(AND('Bateriová úložiště'!$D$53&lt;(FVE!$D$54+FVE!$F$54),J32&gt;=0.1*(FVE!$D$54+FVE!$F$54),J32&lt;=0.6*(FVE!$D$54+FVE!$F$54),(J32+'Bateriová úložiště'!$D$53)&lt;(FVE!$D$54+FVE!$F$54),(J32-0.6*(FVE!$D$54+FVE!$F$54))&lt;(J32+'Bateriová úložiště'!$D$53-(FVE!$D$54+FVE!$F$54))),(((FVE!$D$54+FVE!$F$54)-(J32+'Bateriová úložiště'!$D$53))/6.2807)^(1/0.959),IF(AND('Bateriová úložiště'!$D$53&lt;(FVE!$D$54+FVE!$F$54),J32&gt;=0.1*(FVE!$D$54+FVE!$F$54),J32&lt;=0.6*(FVE!$D$54+FVE!$F$54),(J32+'Bateriová úložiště'!$D$53)&lt;(FVE!$D$54+FVE!$F$54),(J32-0.6*(FVE!$D$54+FVE!$F$54))&gt;=(J32+'Bateriová úložiště'!$D$53-(FVE!$D$54+FVE!$F$54))),((0.6*(FVE!$D$54+FVE!$F$54)-J32)/6.2807)^(1/0.959),IF(AND(OR((J32+'Bateriová úložiště'!$D$53)&gt;=(FVE!$D$54+FVE!$F$54),J32&gt;=0.6*(FVE!$D$54+FVE!$F$54)),(J31+'Bateriová úložiště'!$D$53)&lt;(FVE!$D$54+FVE!$F$54),J31&lt;0.6*(FVE!$D$54+FVE!$F$54)),"MAX. DOTACE BYLA DOSAŽENA (100% VÝKONU FVE) - DALŠÍ VÝDAJE JSOU NEZPŮSOBILÉ",IF(OR(J31&gt;=0.6*(FVE!$D$54+FVE!$F$54),(J31+'Bateriová úložiště'!$D$53))&gt;=(FVE!$D$54+FVE!$F$54),""))))))</f>
        <v/>
      </c>
      <c r="G32" s="162"/>
      <c r="H32" s="24">
        <f>IF(OR(D32&lt;3,D32&gt;5000,$I$53&lt;0.1*(FVE!$D$54+FVE!$F$54),'Bateriová úložiště'!$D$53&gt;=(FVE!$D$54+FVE!$F$54)),0,IF(AND(D32&lt;=200,J32&lt;=0.6*(FVE!$D$54+FVE!$F$54),(J32+'Bateriová úložiště'!$D$53)&lt;=(FVE!$D$54+FVE!$F$54)),(1754822.82*D32^0.69),IF(AND(D32&lt;=200,(J32-0.6*(FVE!$D$54+FVE!$F$54))&gt;(J32+'Bateriová úložiště'!$D$53-(FVE!$D$54+FVE!$F$54)),(0.6*(FVE!$D$54+FVE!$F$54)-J31)&gt;0),1754822.82*(((0.6*(FVE!$D$54+FVE!$F$54)-J31)/6.2807)^(1/0.959))^0.69,IF(AND(D32&lt;=200,(J32-0.6*(FVE!$D$54+FVE!$F$54))&lt;=(J32+'Bateriová úložiště'!$D$53-(FVE!$D$54+FVE!$F$54)),((FVE!$D$54+FVE!$F$54)-'Bateriová úložiště'!$D$53-J31)&gt;0),1754822.82*(((J32-(J32+'Bateriová úložiště'!$D$53-(FVE!$D$54+FVE!$F$54))-J31)/6.2807)^(1/0.959))^0.69,IF(AND(D32&gt;200,J32&lt;=0.6*(FVE!$D$54+FVE!$F$54),(J32+'Bateriová úložiště'!$D$53)&lt;=(FVE!$D$54+FVE!$F$54)),(1559103.03*D32^0.71),IF(AND(D32&gt;200,(J32-0.6*(FVE!$D$54+FVE!$F$54))&gt;(J32+'Bateriová úložiště'!$D$53-(FVE!$D$54+FVE!$F$54)),(0.6*(FVE!$D$54+FVE!$F$54)-J31)&gt;0),1559103.03*((((0.6*(FVE!$D$54+FVE!$F$54)-J31))/6.2807)^(1/0.959))^0.71,IF(AND(D32&gt;200,(J32-0.6*(FVE!$D$54+FVE!$F$54))&lt;=(J32+'Bateriová úložiště'!$D$53-(FVE!$D$54+FVE!$F$54)),((FVE!$D$54+FVE!$F$54)-'Bateriová úložiště'!$D$53-J31)&gt;0),1559103.03*(((J32-(J32+'Bateriová úložiště'!$D$53-(FVE!$D$54+FVE!$F$54))-J31)/6.2807)^(1/0.959))^0.71,0)))))))</f>
        <v>0</v>
      </c>
      <c r="I32" s="24">
        <f t="shared" si="5"/>
        <v>0</v>
      </c>
      <c r="J32" s="24">
        <f>SUM($I$3:I32)</f>
        <v>0</v>
      </c>
      <c r="K32" s="24"/>
      <c r="L32" s="24" t="e">
        <f t="shared" si="0"/>
        <v>#VALUE!</v>
      </c>
      <c r="M32" s="24" t="e">
        <f>6.2807*(SUM(ABS($F$3:F32))^0.959)</f>
        <v>#VALUE!</v>
      </c>
      <c r="N32" s="14"/>
      <c r="O32" s="14"/>
      <c r="P32" s="14"/>
      <c r="Q32" s="14"/>
      <c r="R32" s="14"/>
      <c r="S32" s="14"/>
      <c r="T32" s="14"/>
      <c r="U32" s="14"/>
    </row>
    <row r="33" spans="1:21" ht="16.5" thickTop="1" thickBot="1" x14ac:dyDescent="0.3">
      <c r="A33" s="159"/>
      <c r="B33" s="91"/>
      <c r="C33" s="5"/>
      <c r="D33" s="95"/>
      <c r="E33" s="76"/>
      <c r="F33" s="77" t="str">
        <f>IF(OR(AND(D33&gt;0.0001,D33&lt;3),D33&gt;5000),"MIMO POVOLENÝ ROZSAH",IF(AND('Bateriová úložiště'!$D$53&lt;(FVE!$D$54+FVE!$F$54),J33&lt;0.1*(FVE!$D$54+FVE!$F$54)),-((ABS(J33-0.1*(FVE!$D$54+FVE!$F$54))/6.2807)^(1/0.959)),IF(AND('Bateriová úložiště'!$D$53&lt;(FVE!$D$54+FVE!$F$54),J33&gt;=0.1*(FVE!$D$54+FVE!$F$54),J33&lt;=0.6*(FVE!$D$54+FVE!$F$54),(J33+'Bateriová úložiště'!$D$53)&lt;(FVE!$D$54+FVE!$F$54),(J33-0.6*(FVE!$D$54+FVE!$F$54))&lt;(J33+'Bateriová úložiště'!$D$53-(FVE!$D$54+FVE!$F$54))),(((FVE!$D$54+FVE!$F$54)-(J33+'Bateriová úložiště'!$D$53))/6.2807)^(1/0.959),IF(AND('Bateriová úložiště'!$D$53&lt;(FVE!$D$54+FVE!$F$54),J33&gt;=0.1*(FVE!$D$54+FVE!$F$54),J33&lt;=0.6*(FVE!$D$54+FVE!$F$54),(J33+'Bateriová úložiště'!$D$53)&lt;(FVE!$D$54+FVE!$F$54),(J33-0.6*(FVE!$D$54+FVE!$F$54))&gt;=(J33+'Bateriová úložiště'!$D$53-(FVE!$D$54+FVE!$F$54))),((0.6*(FVE!$D$54+FVE!$F$54)-J33)/6.2807)^(1/0.959),IF(AND(OR((J33+'Bateriová úložiště'!$D$53)&gt;=(FVE!$D$54+FVE!$F$54),J33&gt;=0.6*(FVE!$D$54+FVE!$F$54)),(J32+'Bateriová úložiště'!$D$53)&lt;(FVE!$D$54+FVE!$F$54),J32&lt;0.6*(FVE!$D$54+FVE!$F$54)),"MAX. DOTACE BYLA DOSAŽENA (100% VÝKONU FVE) - DALŠÍ VÝDAJE JSOU NEZPŮSOBILÉ",IF(OR(J32&gt;=0.6*(FVE!$D$54+FVE!$F$54),(J32+'Bateriová úložiště'!$D$53))&gt;=(FVE!$D$54+FVE!$F$54),""))))))</f>
        <v/>
      </c>
      <c r="G33" s="162"/>
      <c r="H33" s="24">
        <f>IF(OR(D33&lt;3,D33&gt;5000,$I$53&lt;0.1*(FVE!$D$54+FVE!$F$54),'Bateriová úložiště'!$D$53&gt;=(FVE!$D$54+FVE!$F$54)),0,IF(AND(D33&lt;=200,J33&lt;=0.6*(FVE!$D$54+FVE!$F$54),(J33+'Bateriová úložiště'!$D$53)&lt;=(FVE!$D$54+FVE!$F$54)),(1754822.82*D33^0.69),IF(AND(D33&lt;=200,(J33-0.6*(FVE!$D$54+FVE!$F$54))&gt;(J33+'Bateriová úložiště'!$D$53-(FVE!$D$54+FVE!$F$54)),(0.6*(FVE!$D$54+FVE!$F$54)-J32)&gt;0),1754822.82*(((0.6*(FVE!$D$54+FVE!$F$54)-J32)/6.2807)^(1/0.959))^0.69,IF(AND(D33&lt;=200,(J33-0.6*(FVE!$D$54+FVE!$F$54))&lt;=(J33+'Bateriová úložiště'!$D$53-(FVE!$D$54+FVE!$F$54)),((FVE!$D$54+FVE!$F$54)-'Bateriová úložiště'!$D$53-J32)&gt;0),1754822.82*(((J33-(J33+'Bateriová úložiště'!$D$53-(FVE!$D$54+FVE!$F$54))-J32)/6.2807)^(1/0.959))^0.69,IF(AND(D33&gt;200,J33&lt;=0.6*(FVE!$D$54+FVE!$F$54),(J33+'Bateriová úložiště'!$D$53)&lt;=(FVE!$D$54+FVE!$F$54)),(1559103.03*D33^0.71),IF(AND(D33&gt;200,(J33-0.6*(FVE!$D$54+FVE!$F$54))&gt;(J33+'Bateriová úložiště'!$D$53-(FVE!$D$54+FVE!$F$54)),(0.6*(FVE!$D$54+FVE!$F$54)-J32)&gt;0),1559103.03*((((0.6*(FVE!$D$54+FVE!$F$54)-J32))/6.2807)^(1/0.959))^0.71,IF(AND(D33&gt;200,(J33-0.6*(FVE!$D$54+FVE!$F$54))&lt;=(J33+'Bateriová úložiště'!$D$53-(FVE!$D$54+FVE!$F$54)),((FVE!$D$54+FVE!$F$54)-'Bateriová úložiště'!$D$53-J32)&gt;0),1559103.03*(((J33-(J33+'Bateriová úložiště'!$D$53-(FVE!$D$54+FVE!$F$54))-J32)/6.2807)^(1/0.959))^0.71,0)))))))</f>
        <v>0</v>
      </c>
      <c r="I33" s="24">
        <f t="shared" si="5"/>
        <v>0</v>
      </c>
      <c r="J33" s="24">
        <f>SUM($I$3:I33)</f>
        <v>0</v>
      </c>
      <c r="K33" s="24"/>
      <c r="L33" s="24" t="e">
        <f t="shared" si="0"/>
        <v>#VALUE!</v>
      </c>
      <c r="M33" s="24" t="e">
        <f>6.2807*(SUM(ABS($F$3:F33))^0.959)</f>
        <v>#VALUE!</v>
      </c>
      <c r="N33" s="14"/>
      <c r="O33" s="14"/>
      <c r="P33" s="14"/>
      <c r="Q33" s="14"/>
      <c r="R33" s="14"/>
      <c r="S33" s="14"/>
      <c r="T33" s="14"/>
      <c r="U33" s="14"/>
    </row>
    <row r="34" spans="1:21" ht="16.5" thickTop="1" thickBot="1" x14ac:dyDescent="0.3">
      <c r="A34" s="159"/>
      <c r="B34" s="91"/>
      <c r="C34" s="5"/>
      <c r="D34" s="95"/>
      <c r="E34" s="76"/>
      <c r="F34" s="77" t="str">
        <f>IF(OR(AND(D34&gt;0.0001,D34&lt;3),D34&gt;5000),"MIMO POVOLENÝ ROZSAH",IF(AND('Bateriová úložiště'!$D$53&lt;(FVE!$D$54+FVE!$F$54),J34&lt;0.1*(FVE!$D$54+FVE!$F$54)),-((ABS(J34-0.1*(FVE!$D$54+FVE!$F$54))/6.2807)^(1/0.959)),IF(AND('Bateriová úložiště'!$D$53&lt;(FVE!$D$54+FVE!$F$54),J34&gt;=0.1*(FVE!$D$54+FVE!$F$54),J34&lt;=0.6*(FVE!$D$54+FVE!$F$54),(J34+'Bateriová úložiště'!$D$53)&lt;(FVE!$D$54+FVE!$F$54),(J34-0.6*(FVE!$D$54+FVE!$F$54))&lt;(J34+'Bateriová úložiště'!$D$53-(FVE!$D$54+FVE!$F$54))),(((FVE!$D$54+FVE!$F$54)-(J34+'Bateriová úložiště'!$D$53))/6.2807)^(1/0.959),IF(AND('Bateriová úložiště'!$D$53&lt;(FVE!$D$54+FVE!$F$54),J34&gt;=0.1*(FVE!$D$54+FVE!$F$54),J34&lt;=0.6*(FVE!$D$54+FVE!$F$54),(J34+'Bateriová úložiště'!$D$53)&lt;(FVE!$D$54+FVE!$F$54),(J34-0.6*(FVE!$D$54+FVE!$F$54))&gt;=(J34+'Bateriová úložiště'!$D$53-(FVE!$D$54+FVE!$F$54))),((0.6*(FVE!$D$54+FVE!$F$54)-J34)/6.2807)^(1/0.959),IF(AND(OR((J34+'Bateriová úložiště'!$D$53)&gt;=(FVE!$D$54+FVE!$F$54),J34&gt;=0.6*(FVE!$D$54+FVE!$F$54)),(J33+'Bateriová úložiště'!$D$53)&lt;(FVE!$D$54+FVE!$F$54),J33&lt;0.6*(FVE!$D$54+FVE!$F$54)),"MAX. DOTACE BYLA DOSAŽENA (100% VÝKONU FVE) - DALŠÍ VÝDAJE JSOU NEZPŮSOBILÉ",IF(OR(J33&gt;=0.6*(FVE!$D$54+FVE!$F$54),(J33+'Bateriová úložiště'!$D$53))&gt;=(FVE!$D$54+FVE!$F$54),""))))))</f>
        <v/>
      </c>
      <c r="G34" s="162"/>
      <c r="H34" s="24">
        <f>IF(OR(D34&lt;3,D34&gt;5000,$I$53&lt;0.1*(FVE!$D$54+FVE!$F$54),'Bateriová úložiště'!$D$53&gt;=(FVE!$D$54+FVE!$F$54)),0,IF(AND(D34&lt;=200,J34&lt;=0.6*(FVE!$D$54+FVE!$F$54),(J34+'Bateriová úložiště'!$D$53)&lt;=(FVE!$D$54+FVE!$F$54)),(1754822.82*D34^0.69),IF(AND(D34&lt;=200,(J34-0.6*(FVE!$D$54+FVE!$F$54))&gt;(J34+'Bateriová úložiště'!$D$53-(FVE!$D$54+FVE!$F$54)),(0.6*(FVE!$D$54+FVE!$F$54)-J33)&gt;0),1754822.82*(((0.6*(FVE!$D$54+FVE!$F$54)-J33)/6.2807)^(1/0.959))^0.69,IF(AND(D34&lt;=200,(J34-0.6*(FVE!$D$54+FVE!$F$54))&lt;=(J34+'Bateriová úložiště'!$D$53-(FVE!$D$54+FVE!$F$54)),((FVE!$D$54+FVE!$F$54)-'Bateriová úložiště'!$D$53-J33)&gt;0),1754822.82*(((J34-(J34+'Bateriová úložiště'!$D$53-(FVE!$D$54+FVE!$F$54))-J33)/6.2807)^(1/0.959))^0.69,IF(AND(D34&gt;200,J34&lt;=0.6*(FVE!$D$54+FVE!$F$54),(J34+'Bateriová úložiště'!$D$53)&lt;=(FVE!$D$54+FVE!$F$54)),(1559103.03*D34^0.71),IF(AND(D34&gt;200,(J34-0.6*(FVE!$D$54+FVE!$F$54))&gt;(J34+'Bateriová úložiště'!$D$53-(FVE!$D$54+FVE!$F$54)),(0.6*(FVE!$D$54+FVE!$F$54)-J33)&gt;0),1559103.03*((((0.6*(FVE!$D$54+FVE!$F$54)-J33))/6.2807)^(1/0.959))^0.71,IF(AND(D34&gt;200,(J34-0.6*(FVE!$D$54+FVE!$F$54))&lt;=(J34+'Bateriová úložiště'!$D$53-(FVE!$D$54+FVE!$F$54)),((FVE!$D$54+FVE!$F$54)-'Bateriová úložiště'!$D$53-J33)&gt;0),1559103.03*(((J34-(J34+'Bateriová úložiště'!$D$53-(FVE!$D$54+FVE!$F$54))-J33)/6.2807)^(1/0.959))^0.71,0)))))))</f>
        <v>0</v>
      </c>
      <c r="I34" s="24">
        <f t="shared" si="5"/>
        <v>0</v>
      </c>
      <c r="J34" s="24">
        <f>SUM($I$3:I34)</f>
        <v>0</v>
      </c>
      <c r="K34" s="24"/>
      <c r="L34" s="24" t="e">
        <f t="shared" si="0"/>
        <v>#VALUE!</v>
      </c>
      <c r="M34" s="24" t="e">
        <f>6.2807*(SUM(ABS($F$3:F34))^0.959)</f>
        <v>#VALUE!</v>
      </c>
      <c r="N34" s="14"/>
      <c r="O34" s="14"/>
      <c r="P34" s="14"/>
      <c r="Q34" s="14"/>
      <c r="R34" s="14"/>
      <c r="S34" s="14"/>
      <c r="T34" s="14"/>
      <c r="U34" s="14"/>
    </row>
    <row r="35" spans="1:21" ht="16.5" thickTop="1" thickBot="1" x14ac:dyDescent="0.3">
      <c r="A35" s="159"/>
      <c r="B35" s="91"/>
      <c r="C35" s="5"/>
      <c r="D35" s="95"/>
      <c r="E35" s="76"/>
      <c r="F35" s="77" t="str">
        <f>IF(OR(AND(D35&gt;0.0001,D35&lt;3),D35&gt;5000),"MIMO POVOLENÝ ROZSAH",IF(AND('Bateriová úložiště'!$D$53&lt;(FVE!$D$54+FVE!$F$54),J35&lt;0.1*(FVE!$D$54+FVE!$F$54)),-((ABS(J35-0.1*(FVE!$D$54+FVE!$F$54))/6.2807)^(1/0.959)),IF(AND('Bateriová úložiště'!$D$53&lt;(FVE!$D$54+FVE!$F$54),J35&gt;=0.1*(FVE!$D$54+FVE!$F$54),J35&lt;=0.6*(FVE!$D$54+FVE!$F$54),(J35+'Bateriová úložiště'!$D$53)&lt;(FVE!$D$54+FVE!$F$54),(J35-0.6*(FVE!$D$54+FVE!$F$54))&lt;(J35+'Bateriová úložiště'!$D$53-(FVE!$D$54+FVE!$F$54))),(((FVE!$D$54+FVE!$F$54)-(J35+'Bateriová úložiště'!$D$53))/6.2807)^(1/0.959),IF(AND('Bateriová úložiště'!$D$53&lt;(FVE!$D$54+FVE!$F$54),J35&gt;=0.1*(FVE!$D$54+FVE!$F$54),J35&lt;=0.6*(FVE!$D$54+FVE!$F$54),(J35+'Bateriová úložiště'!$D$53)&lt;(FVE!$D$54+FVE!$F$54),(J35-0.6*(FVE!$D$54+FVE!$F$54))&gt;=(J35+'Bateriová úložiště'!$D$53-(FVE!$D$54+FVE!$F$54))),((0.6*(FVE!$D$54+FVE!$F$54)-J35)/6.2807)^(1/0.959),IF(AND(OR((J35+'Bateriová úložiště'!$D$53)&gt;=(FVE!$D$54+FVE!$F$54),J35&gt;=0.6*(FVE!$D$54+FVE!$F$54)),(J34+'Bateriová úložiště'!$D$53)&lt;(FVE!$D$54+FVE!$F$54),J34&lt;0.6*(FVE!$D$54+FVE!$F$54)),"MAX. DOTACE BYLA DOSAŽENA (100% VÝKONU FVE) - DALŠÍ VÝDAJE JSOU NEZPŮSOBILÉ",IF(OR(J34&gt;=0.6*(FVE!$D$54+FVE!$F$54),(J34+'Bateriová úložiště'!$D$53))&gt;=(FVE!$D$54+FVE!$F$54),""))))))</f>
        <v/>
      </c>
      <c r="G35" s="162"/>
      <c r="H35" s="24">
        <f>IF(OR(D35&lt;3,D35&gt;5000,$I$53&lt;0.1*(FVE!$D$54+FVE!$F$54),'Bateriová úložiště'!$D$53&gt;=(FVE!$D$54+FVE!$F$54)),0,IF(AND(D35&lt;=200,J35&lt;=0.6*(FVE!$D$54+FVE!$F$54),(J35+'Bateriová úložiště'!$D$53)&lt;=(FVE!$D$54+FVE!$F$54)),(1754822.82*D35^0.69),IF(AND(D35&lt;=200,(J35-0.6*(FVE!$D$54+FVE!$F$54))&gt;(J35+'Bateriová úložiště'!$D$53-(FVE!$D$54+FVE!$F$54)),(0.6*(FVE!$D$54+FVE!$F$54)-J34)&gt;0),1754822.82*(((0.6*(FVE!$D$54+FVE!$F$54)-J34)/6.2807)^(1/0.959))^0.69,IF(AND(D35&lt;=200,(J35-0.6*(FVE!$D$54+FVE!$F$54))&lt;=(J35+'Bateriová úložiště'!$D$53-(FVE!$D$54+FVE!$F$54)),((FVE!$D$54+FVE!$F$54)-'Bateriová úložiště'!$D$53-J34)&gt;0),1754822.82*(((J35-(J35+'Bateriová úložiště'!$D$53-(FVE!$D$54+FVE!$F$54))-J34)/6.2807)^(1/0.959))^0.69,IF(AND(D35&gt;200,J35&lt;=0.6*(FVE!$D$54+FVE!$F$54),(J35+'Bateriová úložiště'!$D$53)&lt;=(FVE!$D$54+FVE!$F$54)),(1559103.03*D35^0.71),IF(AND(D35&gt;200,(J35-0.6*(FVE!$D$54+FVE!$F$54))&gt;(J35+'Bateriová úložiště'!$D$53-(FVE!$D$54+FVE!$F$54)),(0.6*(FVE!$D$54+FVE!$F$54)-J34)&gt;0),1559103.03*((((0.6*(FVE!$D$54+FVE!$F$54)-J34))/6.2807)^(1/0.959))^0.71,IF(AND(D35&gt;200,(J35-0.6*(FVE!$D$54+FVE!$F$54))&lt;=(J35+'Bateriová úložiště'!$D$53-(FVE!$D$54+FVE!$F$54)),((FVE!$D$54+FVE!$F$54)-'Bateriová úložiště'!$D$53-J34)&gt;0),1559103.03*(((J35-(J35+'Bateriová úložiště'!$D$53-(FVE!$D$54+FVE!$F$54))-J34)/6.2807)^(1/0.959))^0.71,0)))))))</f>
        <v>0</v>
      </c>
      <c r="I35" s="24">
        <f t="shared" si="5"/>
        <v>0</v>
      </c>
      <c r="J35" s="24">
        <f>SUM($I$3:I35)</f>
        <v>0</v>
      </c>
      <c r="K35" s="24"/>
      <c r="L35" s="24" t="e">
        <f t="shared" si="0"/>
        <v>#VALUE!</v>
      </c>
      <c r="M35" s="24" t="e">
        <f>6.2807*(SUM(ABS($F$3:F35))^0.959)</f>
        <v>#VALUE!</v>
      </c>
      <c r="N35" s="14"/>
      <c r="O35" s="14"/>
      <c r="P35" s="14"/>
      <c r="Q35" s="14"/>
      <c r="R35" s="14"/>
      <c r="S35" s="14"/>
      <c r="T35" s="14"/>
      <c r="U35" s="14"/>
    </row>
    <row r="36" spans="1:21" ht="16.5" thickTop="1" thickBot="1" x14ac:dyDescent="0.3">
      <c r="A36" s="159"/>
      <c r="B36" s="91"/>
      <c r="C36" s="5"/>
      <c r="D36" s="95"/>
      <c r="E36" s="76"/>
      <c r="F36" s="77" t="str">
        <f>IF(OR(AND(D36&gt;0.0001,D36&lt;3),D36&gt;5000),"MIMO POVOLENÝ ROZSAH",IF(AND('Bateriová úložiště'!$D$53&lt;(FVE!$D$54+FVE!$F$54),J36&lt;0.1*(FVE!$D$54+FVE!$F$54)),-((ABS(J36-0.1*(FVE!$D$54+FVE!$F$54))/6.2807)^(1/0.959)),IF(AND('Bateriová úložiště'!$D$53&lt;(FVE!$D$54+FVE!$F$54),J36&gt;=0.1*(FVE!$D$54+FVE!$F$54),J36&lt;=0.6*(FVE!$D$54+FVE!$F$54),(J36+'Bateriová úložiště'!$D$53)&lt;(FVE!$D$54+FVE!$F$54),(J36-0.6*(FVE!$D$54+FVE!$F$54))&lt;(J36+'Bateriová úložiště'!$D$53-(FVE!$D$54+FVE!$F$54))),(((FVE!$D$54+FVE!$F$54)-(J36+'Bateriová úložiště'!$D$53))/6.2807)^(1/0.959),IF(AND('Bateriová úložiště'!$D$53&lt;(FVE!$D$54+FVE!$F$54),J36&gt;=0.1*(FVE!$D$54+FVE!$F$54),J36&lt;=0.6*(FVE!$D$54+FVE!$F$54),(J36+'Bateriová úložiště'!$D$53)&lt;(FVE!$D$54+FVE!$F$54),(J36-0.6*(FVE!$D$54+FVE!$F$54))&gt;=(J36+'Bateriová úložiště'!$D$53-(FVE!$D$54+FVE!$F$54))),((0.6*(FVE!$D$54+FVE!$F$54)-J36)/6.2807)^(1/0.959),IF(AND(OR((J36+'Bateriová úložiště'!$D$53)&gt;=(FVE!$D$54+FVE!$F$54),J36&gt;=0.6*(FVE!$D$54+FVE!$F$54)),(J35+'Bateriová úložiště'!$D$53)&lt;(FVE!$D$54+FVE!$F$54),J35&lt;0.6*(FVE!$D$54+FVE!$F$54)),"MAX. DOTACE BYLA DOSAŽENA (100% VÝKONU FVE) - DALŠÍ VÝDAJE JSOU NEZPŮSOBILÉ",IF(OR(J35&gt;=0.6*(FVE!$D$54+FVE!$F$54),(J35+'Bateriová úložiště'!$D$53))&gt;=(FVE!$D$54+FVE!$F$54),""))))))</f>
        <v/>
      </c>
      <c r="G36" s="162"/>
      <c r="H36" s="24">
        <f>IF(OR(D36&lt;3,D36&gt;5000,$I$53&lt;0.1*(FVE!$D$54+FVE!$F$54),'Bateriová úložiště'!$D$53&gt;=(FVE!$D$54+FVE!$F$54)),0,IF(AND(D36&lt;=200,J36&lt;=0.6*(FVE!$D$54+FVE!$F$54),(J36+'Bateriová úložiště'!$D$53)&lt;=(FVE!$D$54+FVE!$F$54)),(1754822.82*D36^0.69),IF(AND(D36&lt;=200,(J36-0.6*(FVE!$D$54+FVE!$F$54))&gt;(J36+'Bateriová úložiště'!$D$53-(FVE!$D$54+FVE!$F$54)),(0.6*(FVE!$D$54+FVE!$F$54)-J35)&gt;0),1754822.82*(((0.6*(FVE!$D$54+FVE!$F$54)-J35)/6.2807)^(1/0.959))^0.69,IF(AND(D36&lt;=200,(J36-0.6*(FVE!$D$54+FVE!$F$54))&lt;=(J36+'Bateriová úložiště'!$D$53-(FVE!$D$54+FVE!$F$54)),((FVE!$D$54+FVE!$F$54)-'Bateriová úložiště'!$D$53-J35)&gt;0),1754822.82*(((J36-(J36+'Bateriová úložiště'!$D$53-(FVE!$D$54+FVE!$F$54))-J35)/6.2807)^(1/0.959))^0.69,IF(AND(D36&gt;200,J36&lt;=0.6*(FVE!$D$54+FVE!$F$54),(J36+'Bateriová úložiště'!$D$53)&lt;=(FVE!$D$54+FVE!$F$54)),(1559103.03*D36^0.71),IF(AND(D36&gt;200,(J36-0.6*(FVE!$D$54+FVE!$F$54))&gt;(J36+'Bateriová úložiště'!$D$53-(FVE!$D$54+FVE!$F$54)),(0.6*(FVE!$D$54+FVE!$F$54)-J35)&gt;0),1559103.03*((((0.6*(FVE!$D$54+FVE!$F$54)-J35))/6.2807)^(1/0.959))^0.71,IF(AND(D36&gt;200,(J36-0.6*(FVE!$D$54+FVE!$F$54))&lt;=(J36+'Bateriová úložiště'!$D$53-(FVE!$D$54+FVE!$F$54)),((FVE!$D$54+FVE!$F$54)-'Bateriová úložiště'!$D$53-J35)&gt;0),1559103.03*(((J36-(J36+'Bateriová úložiště'!$D$53-(FVE!$D$54+FVE!$F$54))-J35)/6.2807)^(1/0.959))^0.71,0)))))))</f>
        <v>0</v>
      </c>
      <c r="I36" s="24">
        <f t="shared" si="5"/>
        <v>0</v>
      </c>
      <c r="J36" s="24">
        <f>SUM($I$3:I36)</f>
        <v>0</v>
      </c>
      <c r="K36" s="24"/>
      <c r="L36" s="24" t="e">
        <f t="shared" si="0"/>
        <v>#VALUE!</v>
      </c>
      <c r="M36" s="24" t="e">
        <f>6.2807*(SUM(ABS($F$3:F36))^0.959)</f>
        <v>#VALUE!</v>
      </c>
      <c r="N36" s="14"/>
      <c r="O36" s="14"/>
      <c r="P36" s="14"/>
      <c r="Q36" s="14"/>
      <c r="R36" s="14"/>
      <c r="S36" s="14"/>
      <c r="T36" s="14"/>
      <c r="U36" s="14"/>
    </row>
    <row r="37" spans="1:21" ht="16.5" thickTop="1" thickBot="1" x14ac:dyDescent="0.3">
      <c r="A37" s="159"/>
      <c r="B37" s="91"/>
      <c r="C37" s="5"/>
      <c r="D37" s="95"/>
      <c r="E37" s="76"/>
      <c r="F37" s="77" t="str">
        <f>IF(OR(AND(D37&gt;0.0001,D37&lt;3),D37&gt;5000),"MIMO POVOLENÝ ROZSAH",IF(AND('Bateriová úložiště'!$D$53&lt;(FVE!$D$54+FVE!$F$54),J37&lt;0.1*(FVE!$D$54+FVE!$F$54)),-((ABS(J37-0.1*(FVE!$D$54+FVE!$F$54))/6.2807)^(1/0.959)),IF(AND('Bateriová úložiště'!$D$53&lt;(FVE!$D$54+FVE!$F$54),J37&gt;=0.1*(FVE!$D$54+FVE!$F$54),J37&lt;=0.6*(FVE!$D$54+FVE!$F$54),(J37+'Bateriová úložiště'!$D$53)&lt;(FVE!$D$54+FVE!$F$54),(J37-0.6*(FVE!$D$54+FVE!$F$54))&lt;(J37+'Bateriová úložiště'!$D$53-(FVE!$D$54+FVE!$F$54))),(((FVE!$D$54+FVE!$F$54)-(J37+'Bateriová úložiště'!$D$53))/6.2807)^(1/0.959),IF(AND('Bateriová úložiště'!$D$53&lt;(FVE!$D$54+FVE!$F$54),J37&gt;=0.1*(FVE!$D$54+FVE!$F$54),J37&lt;=0.6*(FVE!$D$54+FVE!$F$54),(J37+'Bateriová úložiště'!$D$53)&lt;(FVE!$D$54+FVE!$F$54),(J37-0.6*(FVE!$D$54+FVE!$F$54))&gt;=(J37+'Bateriová úložiště'!$D$53-(FVE!$D$54+FVE!$F$54))),((0.6*(FVE!$D$54+FVE!$F$54)-J37)/6.2807)^(1/0.959),IF(AND(OR((J37+'Bateriová úložiště'!$D$53)&gt;=(FVE!$D$54+FVE!$F$54),J37&gt;=0.6*(FVE!$D$54+FVE!$F$54)),(J36+'Bateriová úložiště'!$D$53)&lt;(FVE!$D$54+FVE!$F$54),J36&lt;0.6*(FVE!$D$54+FVE!$F$54)),"MAX. DOTACE BYLA DOSAŽENA (100% VÝKONU FVE) - DALŠÍ VÝDAJE JSOU NEZPŮSOBILÉ",IF(OR(J36&gt;=0.6*(FVE!$D$54+FVE!$F$54),(J36+'Bateriová úložiště'!$D$53))&gt;=(FVE!$D$54+FVE!$F$54),""))))))</f>
        <v/>
      </c>
      <c r="G37" s="162"/>
      <c r="H37" s="24">
        <f>IF(OR(D37&lt;3,D37&gt;5000,$I$53&lt;0.1*(FVE!$D$54+FVE!$F$54),'Bateriová úložiště'!$D$53&gt;=(FVE!$D$54+FVE!$F$54)),0,IF(AND(D37&lt;=200,J37&lt;=0.6*(FVE!$D$54+FVE!$F$54),(J37+'Bateriová úložiště'!$D$53)&lt;=(FVE!$D$54+FVE!$F$54)),(1754822.82*D37^0.69),IF(AND(D37&lt;=200,(J37-0.6*(FVE!$D$54+FVE!$F$54))&gt;(J37+'Bateriová úložiště'!$D$53-(FVE!$D$54+FVE!$F$54)),(0.6*(FVE!$D$54+FVE!$F$54)-J36)&gt;0),1754822.82*(((0.6*(FVE!$D$54+FVE!$F$54)-J36)/6.2807)^(1/0.959))^0.69,IF(AND(D37&lt;=200,(J37-0.6*(FVE!$D$54+FVE!$F$54))&lt;=(J37+'Bateriová úložiště'!$D$53-(FVE!$D$54+FVE!$F$54)),((FVE!$D$54+FVE!$F$54)-'Bateriová úložiště'!$D$53-J36)&gt;0),1754822.82*(((J37-(J37+'Bateriová úložiště'!$D$53-(FVE!$D$54+FVE!$F$54))-J36)/6.2807)^(1/0.959))^0.69,IF(AND(D37&gt;200,J37&lt;=0.6*(FVE!$D$54+FVE!$F$54),(J37+'Bateriová úložiště'!$D$53)&lt;=(FVE!$D$54+FVE!$F$54)),(1559103.03*D37^0.71),IF(AND(D37&gt;200,(J37-0.6*(FVE!$D$54+FVE!$F$54))&gt;(J37+'Bateriová úložiště'!$D$53-(FVE!$D$54+FVE!$F$54)),(0.6*(FVE!$D$54+FVE!$F$54)-J36)&gt;0),1559103.03*((((0.6*(FVE!$D$54+FVE!$F$54)-J36))/6.2807)^(1/0.959))^0.71,IF(AND(D37&gt;200,(J37-0.6*(FVE!$D$54+FVE!$F$54))&lt;=(J37+'Bateriová úložiště'!$D$53-(FVE!$D$54+FVE!$F$54)),((FVE!$D$54+FVE!$F$54)-'Bateriová úložiště'!$D$53-J36)&gt;0),1559103.03*(((J37-(J37+'Bateriová úložiště'!$D$53-(FVE!$D$54+FVE!$F$54))-J36)/6.2807)^(1/0.959))^0.71,0)))))))</f>
        <v>0</v>
      </c>
      <c r="I37" s="24">
        <f t="shared" si="5"/>
        <v>0</v>
      </c>
      <c r="J37" s="24">
        <f>SUM($I$3:I37)</f>
        <v>0</v>
      </c>
      <c r="K37" s="24"/>
      <c r="L37" s="24" t="e">
        <f t="shared" si="0"/>
        <v>#VALUE!</v>
      </c>
      <c r="M37" s="24" t="e">
        <f>6.2807*(SUM(ABS($F$3:F37))^0.959)</f>
        <v>#VALUE!</v>
      </c>
      <c r="N37" s="14"/>
      <c r="O37" s="14"/>
      <c r="P37" s="14"/>
      <c r="Q37" s="14"/>
      <c r="R37" s="14"/>
      <c r="S37" s="14"/>
      <c r="T37" s="14"/>
      <c r="U37" s="14"/>
    </row>
    <row r="38" spans="1:21" ht="16.5" thickTop="1" thickBot="1" x14ac:dyDescent="0.3">
      <c r="A38" s="159"/>
      <c r="B38" s="91"/>
      <c r="C38" s="5"/>
      <c r="D38" s="94"/>
      <c r="E38" s="76"/>
      <c r="F38" s="77" t="str">
        <f>IF(OR(AND(D38&gt;0.0001,D38&lt;3),D38&gt;5000),"MIMO POVOLENÝ ROZSAH",IF(AND('Bateriová úložiště'!$D$53&lt;(FVE!$D$54+FVE!$F$54),J38&lt;0.1*(FVE!$D$54+FVE!$F$54)),-((ABS(J38-0.1*(FVE!$D$54+FVE!$F$54))/6.2807)^(1/0.959)),IF(AND('Bateriová úložiště'!$D$53&lt;(FVE!$D$54+FVE!$F$54),J38&gt;=0.1*(FVE!$D$54+FVE!$F$54),J38&lt;=0.6*(FVE!$D$54+FVE!$F$54),(J38+'Bateriová úložiště'!$D$53)&lt;(FVE!$D$54+FVE!$F$54),(J38-0.6*(FVE!$D$54+FVE!$F$54))&lt;(J38+'Bateriová úložiště'!$D$53-(FVE!$D$54+FVE!$F$54))),(((FVE!$D$54+FVE!$F$54)-(J38+'Bateriová úložiště'!$D$53))/6.2807)^(1/0.959),IF(AND('Bateriová úložiště'!$D$53&lt;(FVE!$D$54+FVE!$F$54),J38&gt;=0.1*(FVE!$D$54+FVE!$F$54),J38&lt;=0.6*(FVE!$D$54+FVE!$F$54),(J38+'Bateriová úložiště'!$D$53)&lt;(FVE!$D$54+FVE!$F$54),(J38-0.6*(FVE!$D$54+FVE!$F$54))&gt;=(J38+'Bateriová úložiště'!$D$53-(FVE!$D$54+FVE!$F$54))),((0.6*(FVE!$D$54+FVE!$F$54)-J38)/6.2807)^(1/0.959),IF(AND(OR((J38+'Bateriová úložiště'!$D$53)&gt;=(FVE!$D$54+FVE!$F$54),J38&gt;=0.6*(FVE!$D$54+FVE!$F$54)),(J37+'Bateriová úložiště'!$D$53)&lt;(FVE!$D$54+FVE!$F$54),J37&lt;0.6*(FVE!$D$54+FVE!$F$54)),"MAX. DOTACE BYLA DOSAŽENA (100% VÝKONU FVE) - DALŠÍ VÝDAJE JSOU NEZPŮSOBILÉ",IF(OR(J37&gt;=0.6*(FVE!$D$54+FVE!$F$54),(J37+'Bateriová úložiště'!$D$53))&gt;=(FVE!$D$54+FVE!$F$54),""))))))</f>
        <v/>
      </c>
      <c r="G38" s="162"/>
      <c r="H38" s="24">
        <f>IF(OR(D38&lt;3,D38&gt;5000,$I$53&lt;0.1*(FVE!$D$54+FVE!$F$54),'Bateriová úložiště'!$D$53&gt;=(FVE!$D$54+FVE!$F$54)),0,IF(AND(D38&lt;=200,J38&lt;=0.6*(FVE!$D$54+FVE!$F$54),(J38+'Bateriová úložiště'!$D$53)&lt;=(FVE!$D$54+FVE!$F$54)),(1754822.82*D38^0.69),IF(AND(D38&lt;=200,(J38-0.6*(FVE!$D$54+FVE!$F$54))&gt;(J38+'Bateriová úložiště'!$D$53-(FVE!$D$54+FVE!$F$54)),(0.6*(FVE!$D$54+FVE!$F$54)-J37)&gt;0),1754822.82*(((0.6*(FVE!$D$54+FVE!$F$54)-J37)/6.2807)^(1/0.959))^0.69,IF(AND(D38&lt;=200,(J38-0.6*(FVE!$D$54+FVE!$F$54))&lt;=(J38+'Bateriová úložiště'!$D$53-(FVE!$D$54+FVE!$F$54)),((FVE!$D$54+FVE!$F$54)-'Bateriová úložiště'!$D$53-J37)&gt;0),1754822.82*(((J38-(J38+'Bateriová úložiště'!$D$53-(FVE!$D$54+FVE!$F$54))-J37)/6.2807)^(1/0.959))^0.69,IF(AND(D38&gt;200,J38&lt;=0.6*(FVE!$D$54+FVE!$F$54),(J38+'Bateriová úložiště'!$D$53)&lt;=(FVE!$D$54+FVE!$F$54)),(1559103.03*D38^0.71),IF(AND(D38&gt;200,(J38-0.6*(FVE!$D$54+FVE!$F$54))&gt;(J38+'Bateriová úložiště'!$D$53-(FVE!$D$54+FVE!$F$54)),(0.6*(FVE!$D$54+FVE!$F$54)-J37)&gt;0),1559103.03*((((0.6*(FVE!$D$54+FVE!$F$54)-J37))/6.2807)^(1/0.959))^0.71,IF(AND(D38&gt;200,(J38-0.6*(FVE!$D$54+FVE!$F$54))&lt;=(J38+'Bateriová úložiště'!$D$53-(FVE!$D$54+FVE!$F$54)),((FVE!$D$54+FVE!$F$54)-'Bateriová úložiště'!$D$53-J37)&gt;0),1559103.03*(((J38-(J38+'Bateriová úložiště'!$D$53-(FVE!$D$54+FVE!$F$54))-J37)/6.2807)^(1/0.959))^0.71,0)))))))</f>
        <v>0</v>
      </c>
      <c r="I38" s="24">
        <f t="shared" si="5"/>
        <v>0</v>
      </c>
      <c r="J38" s="24">
        <f>SUM($I$3:I38)</f>
        <v>0</v>
      </c>
      <c r="K38" s="24"/>
      <c r="L38" s="24" t="e">
        <f t="shared" si="0"/>
        <v>#VALUE!</v>
      </c>
      <c r="M38" s="24" t="e">
        <f>6.2807*(SUM(ABS($F$3:F38))^0.959)</f>
        <v>#VALUE!</v>
      </c>
      <c r="N38" s="14"/>
      <c r="O38" s="14"/>
      <c r="P38" s="14"/>
      <c r="Q38" s="14"/>
      <c r="R38" s="14"/>
      <c r="S38" s="14"/>
      <c r="T38" s="14"/>
      <c r="U38" s="14"/>
    </row>
    <row r="39" spans="1:21" ht="16.5" thickTop="1" thickBot="1" x14ac:dyDescent="0.3">
      <c r="A39" s="159"/>
      <c r="B39" s="92"/>
      <c r="C39" s="5"/>
      <c r="D39" s="95"/>
      <c r="E39" s="76"/>
      <c r="F39" s="77" t="str">
        <f>IF(OR(AND(D39&gt;0.0001,D39&lt;3),D39&gt;5000),"MIMO POVOLENÝ ROZSAH",IF(AND('Bateriová úložiště'!$D$53&lt;(FVE!$D$54+FVE!$F$54),J39&lt;0.1*(FVE!$D$54+FVE!$F$54)),-((ABS(J39-0.1*(FVE!$D$54+FVE!$F$54))/6.2807)^(1/0.959)),IF(AND('Bateriová úložiště'!$D$53&lt;(FVE!$D$54+FVE!$F$54),J39&gt;=0.1*(FVE!$D$54+FVE!$F$54),J39&lt;=0.6*(FVE!$D$54+FVE!$F$54),(J39+'Bateriová úložiště'!$D$53)&lt;(FVE!$D$54+FVE!$F$54),(J39-0.6*(FVE!$D$54+FVE!$F$54))&lt;(J39+'Bateriová úložiště'!$D$53-(FVE!$D$54+FVE!$F$54))),(((FVE!$D$54+FVE!$F$54)-(J39+'Bateriová úložiště'!$D$53))/6.2807)^(1/0.959),IF(AND('Bateriová úložiště'!$D$53&lt;(FVE!$D$54+FVE!$F$54),J39&gt;=0.1*(FVE!$D$54+FVE!$F$54),J39&lt;=0.6*(FVE!$D$54+FVE!$F$54),(J39+'Bateriová úložiště'!$D$53)&lt;(FVE!$D$54+FVE!$F$54),(J39-0.6*(FVE!$D$54+FVE!$F$54))&gt;=(J39+'Bateriová úložiště'!$D$53-(FVE!$D$54+FVE!$F$54))),((0.6*(FVE!$D$54+FVE!$F$54)-J39)/6.2807)^(1/0.959),IF(AND(OR((J39+'Bateriová úložiště'!$D$53)&gt;=(FVE!$D$54+FVE!$F$54),J39&gt;=0.6*(FVE!$D$54+FVE!$F$54)),(J38+'Bateriová úložiště'!$D$53)&lt;(FVE!$D$54+FVE!$F$54),J38&lt;0.6*(FVE!$D$54+FVE!$F$54)),"MAX. DOTACE BYLA DOSAŽENA (100% VÝKONU FVE) - DALŠÍ VÝDAJE JSOU NEZPŮSOBILÉ",IF(OR(J38&gt;=0.6*(FVE!$D$54+FVE!$F$54),(J38+'Bateriová úložiště'!$D$53))&gt;=(FVE!$D$54+FVE!$F$54),""))))))</f>
        <v/>
      </c>
      <c r="G39" s="162"/>
      <c r="H39" s="24">
        <f>IF(OR(D39&lt;3,D39&gt;5000,$I$53&lt;0.1*(FVE!$D$54+FVE!$F$54),'Bateriová úložiště'!$D$53&gt;=(FVE!$D$54+FVE!$F$54)),0,IF(AND(D39&lt;=200,J39&lt;=0.6*(FVE!$D$54+FVE!$F$54),(J39+'Bateriová úložiště'!$D$53)&lt;=(FVE!$D$54+FVE!$F$54)),(1754822.82*D39^0.69),IF(AND(D39&lt;=200,(J39-0.6*(FVE!$D$54+FVE!$F$54))&gt;(J39+'Bateriová úložiště'!$D$53-(FVE!$D$54+FVE!$F$54)),(0.6*(FVE!$D$54+FVE!$F$54)-J38)&gt;0),1754822.82*(((0.6*(FVE!$D$54+FVE!$F$54)-J38)/6.2807)^(1/0.959))^0.69,IF(AND(D39&lt;=200,(J39-0.6*(FVE!$D$54+FVE!$F$54))&lt;=(J39+'Bateriová úložiště'!$D$53-(FVE!$D$54+FVE!$F$54)),((FVE!$D$54+FVE!$F$54)-'Bateriová úložiště'!$D$53-J38)&gt;0),1754822.82*(((J39-(J39+'Bateriová úložiště'!$D$53-(FVE!$D$54+FVE!$F$54))-J38)/6.2807)^(1/0.959))^0.69,IF(AND(D39&gt;200,J39&lt;=0.6*(FVE!$D$54+FVE!$F$54),(J39+'Bateriová úložiště'!$D$53)&lt;=(FVE!$D$54+FVE!$F$54)),(1559103.03*D39^0.71),IF(AND(D39&gt;200,(J39-0.6*(FVE!$D$54+FVE!$F$54))&gt;(J39+'Bateriová úložiště'!$D$53-(FVE!$D$54+FVE!$F$54)),(0.6*(FVE!$D$54+FVE!$F$54)-J38)&gt;0),1559103.03*((((0.6*(FVE!$D$54+FVE!$F$54)-J38))/6.2807)^(1/0.959))^0.71,IF(AND(D39&gt;200,(J39-0.6*(FVE!$D$54+FVE!$F$54))&lt;=(J39+'Bateriová úložiště'!$D$53-(FVE!$D$54+FVE!$F$54)),((FVE!$D$54+FVE!$F$54)-'Bateriová úložiště'!$D$53-J38)&gt;0),1559103.03*(((J39-(J39+'Bateriová úložiště'!$D$53-(FVE!$D$54+FVE!$F$54))-J38)/6.2807)^(1/0.959))^0.71,0)))))))</f>
        <v>0</v>
      </c>
      <c r="I39" s="24">
        <f t="shared" si="5"/>
        <v>0</v>
      </c>
      <c r="J39" s="24">
        <f>SUM($I$3:I39)</f>
        <v>0</v>
      </c>
      <c r="K39" s="24"/>
      <c r="L39" s="24" t="e">
        <f t="shared" si="0"/>
        <v>#VALUE!</v>
      </c>
      <c r="M39" s="24" t="e">
        <f>6.2807*(SUM(ABS($F$3:F39))^0.959)</f>
        <v>#VALUE!</v>
      </c>
      <c r="N39" s="14"/>
      <c r="O39" s="14"/>
      <c r="P39" s="14"/>
      <c r="Q39" s="14"/>
      <c r="R39" s="14"/>
      <c r="S39" s="14"/>
      <c r="T39" s="14"/>
      <c r="U39" s="14"/>
    </row>
    <row r="40" spans="1:21" ht="16.5" thickTop="1" thickBot="1" x14ac:dyDescent="0.3">
      <c r="A40" s="159"/>
      <c r="B40" s="91"/>
      <c r="C40" s="5"/>
      <c r="D40" s="95"/>
      <c r="E40" s="76"/>
      <c r="F40" s="77" t="str">
        <f>IF(OR(AND(D40&gt;0.0001,D40&lt;3),D40&gt;5000),"MIMO POVOLENÝ ROZSAH",IF(AND('Bateriová úložiště'!$D$53&lt;(FVE!$D$54+FVE!$F$54),J40&lt;0.1*(FVE!$D$54+FVE!$F$54)),-((ABS(J40-0.1*(FVE!$D$54+FVE!$F$54))/6.2807)^(1/0.959)),IF(AND('Bateriová úložiště'!$D$53&lt;(FVE!$D$54+FVE!$F$54),J40&gt;=0.1*(FVE!$D$54+FVE!$F$54),J40&lt;=0.6*(FVE!$D$54+FVE!$F$54),(J40+'Bateriová úložiště'!$D$53)&lt;(FVE!$D$54+FVE!$F$54),(J40-0.6*(FVE!$D$54+FVE!$F$54))&lt;(J40+'Bateriová úložiště'!$D$53-(FVE!$D$54+FVE!$F$54))),(((FVE!$D$54+FVE!$F$54)-(J40+'Bateriová úložiště'!$D$53))/6.2807)^(1/0.959),IF(AND('Bateriová úložiště'!$D$53&lt;(FVE!$D$54+FVE!$F$54),J40&gt;=0.1*(FVE!$D$54+FVE!$F$54),J40&lt;=0.6*(FVE!$D$54+FVE!$F$54),(J40+'Bateriová úložiště'!$D$53)&lt;(FVE!$D$54+FVE!$F$54),(J40-0.6*(FVE!$D$54+FVE!$F$54))&gt;=(J40+'Bateriová úložiště'!$D$53-(FVE!$D$54+FVE!$F$54))),((0.6*(FVE!$D$54+FVE!$F$54)-J40)/6.2807)^(1/0.959),IF(AND(OR((J40+'Bateriová úložiště'!$D$53)&gt;=(FVE!$D$54+FVE!$F$54),J40&gt;=0.6*(FVE!$D$54+FVE!$F$54)),(J39+'Bateriová úložiště'!$D$53)&lt;(FVE!$D$54+FVE!$F$54),J39&lt;0.6*(FVE!$D$54+FVE!$F$54)),"MAX. DOTACE BYLA DOSAŽENA (100% VÝKONU FVE) - DALŠÍ VÝDAJE JSOU NEZPŮSOBILÉ",IF(OR(J39&gt;=0.6*(FVE!$D$54+FVE!$F$54),(J39+'Bateriová úložiště'!$D$53))&gt;=(FVE!$D$54+FVE!$F$54),""))))))</f>
        <v/>
      </c>
      <c r="G40" s="162"/>
      <c r="H40" s="24">
        <f>IF(OR(D40&lt;3,D40&gt;5000,$I$53&lt;0.1*(FVE!$D$54+FVE!$F$54),'Bateriová úložiště'!$D$53&gt;=(FVE!$D$54+FVE!$F$54)),0,IF(AND(D40&lt;=200,J40&lt;=0.6*(FVE!$D$54+FVE!$F$54),(J40+'Bateriová úložiště'!$D$53)&lt;=(FVE!$D$54+FVE!$F$54)),(1754822.82*D40^0.69),IF(AND(D40&lt;=200,(J40-0.6*(FVE!$D$54+FVE!$F$54))&gt;(J40+'Bateriová úložiště'!$D$53-(FVE!$D$54+FVE!$F$54)),(0.6*(FVE!$D$54+FVE!$F$54)-J39)&gt;0),1754822.82*(((0.6*(FVE!$D$54+FVE!$F$54)-J39)/6.2807)^(1/0.959))^0.69,IF(AND(D40&lt;=200,(J40-0.6*(FVE!$D$54+FVE!$F$54))&lt;=(J40+'Bateriová úložiště'!$D$53-(FVE!$D$54+FVE!$F$54)),((FVE!$D$54+FVE!$F$54)-'Bateriová úložiště'!$D$53-J39)&gt;0),1754822.82*(((J40-(J40+'Bateriová úložiště'!$D$53-(FVE!$D$54+FVE!$F$54))-J39)/6.2807)^(1/0.959))^0.69,IF(AND(D40&gt;200,J40&lt;=0.6*(FVE!$D$54+FVE!$F$54),(J40+'Bateriová úložiště'!$D$53)&lt;=(FVE!$D$54+FVE!$F$54)),(1559103.03*D40^0.71),IF(AND(D40&gt;200,(J40-0.6*(FVE!$D$54+FVE!$F$54))&gt;(J40+'Bateriová úložiště'!$D$53-(FVE!$D$54+FVE!$F$54)),(0.6*(FVE!$D$54+FVE!$F$54)-J39)&gt;0),1559103.03*((((0.6*(FVE!$D$54+FVE!$F$54)-J39))/6.2807)^(1/0.959))^0.71,IF(AND(D40&gt;200,(J40-0.6*(FVE!$D$54+FVE!$F$54))&lt;=(J40+'Bateriová úložiště'!$D$53-(FVE!$D$54+FVE!$F$54)),((FVE!$D$54+FVE!$F$54)-'Bateriová úložiště'!$D$53-J39)&gt;0),1559103.03*(((J40-(J40+'Bateriová úložiště'!$D$53-(FVE!$D$54+FVE!$F$54))-J39)/6.2807)^(1/0.959))^0.71,0)))))))</f>
        <v>0</v>
      </c>
      <c r="I40" s="24">
        <f t="shared" si="5"/>
        <v>0</v>
      </c>
      <c r="J40" s="24">
        <f>SUM($I$3:I40)</f>
        <v>0</v>
      </c>
      <c r="K40" s="24"/>
      <c r="L40" s="24" t="e">
        <f t="shared" si="0"/>
        <v>#VALUE!</v>
      </c>
      <c r="M40" s="24" t="e">
        <f>6.2807*(SUM(ABS($F$3:F40))^0.959)</f>
        <v>#VALUE!</v>
      </c>
      <c r="N40" s="14"/>
      <c r="O40" s="14"/>
      <c r="P40" s="14"/>
      <c r="Q40" s="14"/>
      <c r="R40" s="14"/>
      <c r="S40" s="14"/>
      <c r="T40" s="14"/>
      <c r="U40" s="14"/>
    </row>
    <row r="41" spans="1:21" ht="16.5" thickTop="1" thickBot="1" x14ac:dyDescent="0.3">
      <c r="A41" s="159"/>
      <c r="B41" s="91"/>
      <c r="C41" s="5"/>
      <c r="D41" s="95"/>
      <c r="E41" s="76"/>
      <c r="F41" s="77" t="str">
        <f>IF(OR(AND(D41&gt;0.0001,D41&lt;3),D41&gt;5000),"MIMO POVOLENÝ ROZSAH",IF(AND('Bateriová úložiště'!$D$53&lt;(FVE!$D$54+FVE!$F$54),J41&lt;0.1*(FVE!$D$54+FVE!$F$54)),-((ABS(J41-0.1*(FVE!$D$54+FVE!$F$54))/6.2807)^(1/0.959)),IF(AND('Bateriová úložiště'!$D$53&lt;(FVE!$D$54+FVE!$F$54),J41&gt;=0.1*(FVE!$D$54+FVE!$F$54),J41&lt;=0.6*(FVE!$D$54+FVE!$F$54),(J41+'Bateriová úložiště'!$D$53)&lt;(FVE!$D$54+FVE!$F$54),(J41-0.6*(FVE!$D$54+FVE!$F$54))&lt;(J41+'Bateriová úložiště'!$D$53-(FVE!$D$54+FVE!$F$54))),(((FVE!$D$54+FVE!$F$54)-(J41+'Bateriová úložiště'!$D$53))/6.2807)^(1/0.959),IF(AND('Bateriová úložiště'!$D$53&lt;(FVE!$D$54+FVE!$F$54),J41&gt;=0.1*(FVE!$D$54+FVE!$F$54),J41&lt;=0.6*(FVE!$D$54+FVE!$F$54),(J41+'Bateriová úložiště'!$D$53)&lt;(FVE!$D$54+FVE!$F$54),(J41-0.6*(FVE!$D$54+FVE!$F$54))&gt;=(J41+'Bateriová úložiště'!$D$53-(FVE!$D$54+FVE!$F$54))),((0.6*(FVE!$D$54+FVE!$F$54)-J41)/6.2807)^(1/0.959),IF(AND(OR((J41+'Bateriová úložiště'!$D$53)&gt;=(FVE!$D$54+FVE!$F$54),J41&gt;=0.6*(FVE!$D$54+FVE!$F$54)),(J40+'Bateriová úložiště'!$D$53)&lt;(FVE!$D$54+FVE!$F$54),J40&lt;0.6*(FVE!$D$54+FVE!$F$54)),"MAX. DOTACE BYLA DOSAŽENA (100% VÝKONU FVE) - DALŠÍ VÝDAJE JSOU NEZPŮSOBILÉ",IF(OR(J40&gt;=0.6*(FVE!$D$54+FVE!$F$54),(J40+'Bateriová úložiště'!$D$53))&gt;=(FVE!$D$54+FVE!$F$54),""))))))</f>
        <v/>
      </c>
      <c r="G41" s="162"/>
      <c r="H41" s="24">
        <f>IF(OR(D41&lt;3,D41&gt;5000,$I$53&lt;0.1*(FVE!$D$54+FVE!$F$54),'Bateriová úložiště'!$D$53&gt;=(FVE!$D$54+FVE!$F$54)),0,IF(AND(D41&lt;=200,J41&lt;=0.6*(FVE!$D$54+FVE!$F$54),(J41+'Bateriová úložiště'!$D$53)&lt;=(FVE!$D$54+FVE!$F$54)),(1754822.82*D41^0.69),IF(AND(D41&lt;=200,(J41-0.6*(FVE!$D$54+FVE!$F$54))&gt;(J41+'Bateriová úložiště'!$D$53-(FVE!$D$54+FVE!$F$54)),(0.6*(FVE!$D$54+FVE!$F$54)-J40)&gt;0),1754822.82*(((0.6*(FVE!$D$54+FVE!$F$54)-J40)/6.2807)^(1/0.959))^0.69,IF(AND(D41&lt;=200,(J41-0.6*(FVE!$D$54+FVE!$F$54))&lt;=(J41+'Bateriová úložiště'!$D$53-(FVE!$D$54+FVE!$F$54)),((FVE!$D$54+FVE!$F$54)-'Bateriová úložiště'!$D$53-J40)&gt;0),1754822.82*(((J41-(J41+'Bateriová úložiště'!$D$53-(FVE!$D$54+FVE!$F$54))-J40)/6.2807)^(1/0.959))^0.69,IF(AND(D41&gt;200,J41&lt;=0.6*(FVE!$D$54+FVE!$F$54),(J41+'Bateriová úložiště'!$D$53)&lt;=(FVE!$D$54+FVE!$F$54)),(1559103.03*D41^0.71),IF(AND(D41&gt;200,(J41-0.6*(FVE!$D$54+FVE!$F$54))&gt;(J41+'Bateriová úložiště'!$D$53-(FVE!$D$54+FVE!$F$54)),(0.6*(FVE!$D$54+FVE!$F$54)-J40)&gt;0),1559103.03*((((0.6*(FVE!$D$54+FVE!$F$54)-J40))/6.2807)^(1/0.959))^0.71,IF(AND(D41&gt;200,(J41-0.6*(FVE!$D$54+FVE!$F$54))&lt;=(J41+'Bateriová úložiště'!$D$53-(FVE!$D$54+FVE!$F$54)),((FVE!$D$54+FVE!$F$54)-'Bateriová úložiště'!$D$53-J40)&gt;0),1559103.03*(((J41-(J41+'Bateriová úložiště'!$D$53-(FVE!$D$54+FVE!$F$54))-J40)/6.2807)^(1/0.959))^0.71,0)))))))</f>
        <v>0</v>
      </c>
      <c r="I41" s="24">
        <f t="shared" si="5"/>
        <v>0</v>
      </c>
      <c r="J41" s="24">
        <f>SUM($I$3:I41)</f>
        <v>0</v>
      </c>
      <c r="K41" s="24"/>
      <c r="L41" s="24" t="e">
        <f t="shared" si="0"/>
        <v>#VALUE!</v>
      </c>
      <c r="M41" s="24" t="e">
        <f>6.2807*(SUM(ABS($F$3:F41))^0.959)</f>
        <v>#VALUE!</v>
      </c>
      <c r="N41" s="14"/>
      <c r="O41" s="14"/>
      <c r="P41" s="14"/>
      <c r="Q41" s="14"/>
      <c r="R41" s="14"/>
      <c r="S41" s="14"/>
      <c r="T41" s="14"/>
      <c r="U41" s="14"/>
    </row>
    <row r="42" spans="1:21" ht="16.5" thickTop="1" thickBot="1" x14ac:dyDescent="0.3">
      <c r="A42" s="159"/>
      <c r="B42" s="91"/>
      <c r="C42" s="5"/>
      <c r="D42" s="95"/>
      <c r="E42" s="76"/>
      <c r="F42" s="77" t="str">
        <f>IF(OR(AND(D42&gt;0.0001,D42&lt;3),D42&gt;5000),"MIMO POVOLENÝ ROZSAH",IF(AND('Bateriová úložiště'!$D$53&lt;(FVE!$D$54+FVE!$F$54),J42&lt;0.1*(FVE!$D$54+FVE!$F$54)),-((ABS(J42-0.1*(FVE!$D$54+FVE!$F$54))/6.2807)^(1/0.959)),IF(AND('Bateriová úložiště'!$D$53&lt;(FVE!$D$54+FVE!$F$54),J42&gt;=0.1*(FVE!$D$54+FVE!$F$54),J42&lt;=0.6*(FVE!$D$54+FVE!$F$54),(J42+'Bateriová úložiště'!$D$53)&lt;(FVE!$D$54+FVE!$F$54),(J42-0.6*(FVE!$D$54+FVE!$F$54))&lt;(J42+'Bateriová úložiště'!$D$53-(FVE!$D$54+FVE!$F$54))),(((FVE!$D$54+FVE!$F$54)-(J42+'Bateriová úložiště'!$D$53))/6.2807)^(1/0.959),IF(AND('Bateriová úložiště'!$D$53&lt;(FVE!$D$54+FVE!$F$54),J42&gt;=0.1*(FVE!$D$54+FVE!$F$54),J42&lt;=0.6*(FVE!$D$54+FVE!$F$54),(J42+'Bateriová úložiště'!$D$53)&lt;(FVE!$D$54+FVE!$F$54),(J42-0.6*(FVE!$D$54+FVE!$F$54))&gt;=(J42+'Bateriová úložiště'!$D$53-(FVE!$D$54+FVE!$F$54))),((0.6*(FVE!$D$54+FVE!$F$54)-J42)/6.2807)^(1/0.959),IF(AND(OR((J42+'Bateriová úložiště'!$D$53)&gt;=(FVE!$D$54+FVE!$F$54),J42&gt;=0.6*(FVE!$D$54+FVE!$F$54)),(J41+'Bateriová úložiště'!$D$53)&lt;(FVE!$D$54+FVE!$F$54),J41&lt;0.6*(FVE!$D$54+FVE!$F$54)),"MAX. DOTACE BYLA DOSAŽENA (100% VÝKONU FVE) - DALŠÍ VÝDAJE JSOU NEZPŮSOBILÉ",IF(OR(J41&gt;=0.6*(FVE!$D$54+FVE!$F$54),(J41+'Bateriová úložiště'!$D$53))&gt;=(FVE!$D$54+FVE!$F$54),""))))))</f>
        <v/>
      </c>
      <c r="G42" s="162"/>
      <c r="H42" s="24">
        <f>IF(OR(D42&lt;3,D42&gt;5000,$I$53&lt;0.1*(FVE!$D$54+FVE!$F$54),'Bateriová úložiště'!$D$53&gt;=(FVE!$D$54+FVE!$F$54)),0,IF(AND(D42&lt;=200,J42&lt;=0.6*(FVE!$D$54+FVE!$F$54),(J42+'Bateriová úložiště'!$D$53)&lt;=(FVE!$D$54+FVE!$F$54)),(1754822.82*D42^0.69),IF(AND(D42&lt;=200,(J42-0.6*(FVE!$D$54+FVE!$F$54))&gt;(J42+'Bateriová úložiště'!$D$53-(FVE!$D$54+FVE!$F$54)),(0.6*(FVE!$D$54+FVE!$F$54)-J41)&gt;0),1754822.82*(((0.6*(FVE!$D$54+FVE!$F$54)-J41)/6.2807)^(1/0.959))^0.69,IF(AND(D42&lt;=200,(J42-0.6*(FVE!$D$54+FVE!$F$54))&lt;=(J42+'Bateriová úložiště'!$D$53-(FVE!$D$54+FVE!$F$54)),((FVE!$D$54+FVE!$F$54)-'Bateriová úložiště'!$D$53-J41)&gt;0),1754822.82*(((J42-(J42+'Bateriová úložiště'!$D$53-(FVE!$D$54+FVE!$F$54))-J41)/6.2807)^(1/0.959))^0.69,IF(AND(D42&gt;200,J42&lt;=0.6*(FVE!$D$54+FVE!$F$54),(J42+'Bateriová úložiště'!$D$53)&lt;=(FVE!$D$54+FVE!$F$54)),(1559103.03*D42^0.71),IF(AND(D42&gt;200,(J42-0.6*(FVE!$D$54+FVE!$F$54))&gt;(J42+'Bateriová úložiště'!$D$53-(FVE!$D$54+FVE!$F$54)),(0.6*(FVE!$D$54+FVE!$F$54)-J41)&gt;0),1559103.03*((((0.6*(FVE!$D$54+FVE!$F$54)-J41))/6.2807)^(1/0.959))^0.71,IF(AND(D42&gt;200,(J42-0.6*(FVE!$D$54+FVE!$F$54))&lt;=(J42+'Bateriová úložiště'!$D$53-(FVE!$D$54+FVE!$F$54)),((FVE!$D$54+FVE!$F$54)-'Bateriová úložiště'!$D$53-J41)&gt;0),1559103.03*(((J42-(J42+'Bateriová úložiště'!$D$53-(FVE!$D$54+FVE!$F$54))-J41)/6.2807)^(1/0.959))^0.71,0)))))))</f>
        <v>0</v>
      </c>
      <c r="I42" s="24">
        <f t="shared" si="5"/>
        <v>0</v>
      </c>
      <c r="J42" s="24">
        <f>SUM($I$3:I42)</f>
        <v>0</v>
      </c>
      <c r="K42" s="24"/>
      <c r="L42" s="24" t="e">
        <f t="shared" si="0"/>
        <v>#VALUE!</v>
      </c>
      <c r="M42" s="24" t="e">
        <f>6.2807*(SUM(ABS($F$3:F42))^0.959)</f>
        <v>#VALUE!</v>
      </c>
      <c r="N42" s="14"/>
      <c r="O42" s="14"/>
      <c r="P42" s="14"/>
      <c r="Q42" s="14"/>
      <c r="R42" s="14"/>
      <c r="S42" s="14"/>
      <c r="T42" s="14"/>
      <c r="U42" s="14"/>
    </row>
    <row r="43" spans="1:21" ht="16.5" thickTop="1" thickBot="1" x14ac:dyDescent="0.3">
      <c r="A43" s="159"/>
      <c r="B43" s="91"/>
      <c r="C43" s="5"/>
      <c r="D43" s="95"/>
      <c r="E43" s="76"/>
      <c r="F43" s="73" t="str">
        <f>IF(OR(AND(D43&gt;0.0001,D43&lt;3),D43&gt;5000),"MIMO POVOLENÝ ROZSAH",IF(AND('Bateriová úložiště'!$D$53&lt;(FVE!$D$54+FVE!$F$54),J43&lt;0.1*(FVE!$D$54+FVE!$F$54)),-((ABS(J43-0.1*(FVE!$D$54+FVE!$F$54))/6.2807)^(1/0.959)),IF(AND('Bateriová úložiště'!$D$53&lt;(FVE!$D$54+FVE!$F$54),J43&gt;=0.1*(FVE!$D$54+FVE!$F$54),J43&lt;=0.6*(FVE!$D$54+FVE!$F$54),(J43+'Bateriová úložiště'!$D$53)&lt;(FVE!$D$54+FVE!$F$54),(J43-0.6*(FVE!$D$54+FVE!$F$54))&lt;(J43+'Bateriová úložiště'!$D$53-(FVE!$D$54+FVE!$F$54))),(((FVE!$D$54+FVE!$F$54)-(J43+'Bateriová úložiště'!$D$53))/6.2807)^(1/0.959),IF(AND('Bateriová úložiště'!$D$53&lt;(FVE!$D$54+FVE!$F$54),J43&gt;=0.1*(FVE!$D$54+FVE!$F$54),J43&lt;=0.6*(FVE!$D$54+FVE!$F$54),(J43+'Bateriová úložiště'!$D$53)&lt;(FVE!$D$54+FVE!$F$54),(J43-0.6*(FVE!$D$54+FVE!$F$54))&gt;=(J43+'Bateriová úložiště'!$D$53-(FVE!$D$54+FVE!$F$54))),((0.6*(FVE!$D$54+FVE!$F$54)-J43)/6.2807)^(1/0.959),IF(AND(OR((J43+'Bateriová úložiště'!$D$53)&gt;=(FVE!$D$54+FVE!$F$54),J43&gt;=0.6*(FVE!$D$54+FVE!$F$54)),(J42+'Bateriová úložiště'!$D$53)&lt;(FVE!$D$54+FVE!$F$54),J42&lt;0.6*(FVE!$D$54+FVE!$F$54)),"MAX. DOTACE BYLA DOSAŽENA (100% VÝKONU FVE) - DALŠÍ VÝDAJE JSOU NEZPŮSOBILÉ",IF(OR(J42&gt;=0.6*(FVE!$D$54+FVE!$F$54),(J42+'Bateriová úložiště'!$D$53))&gt;=(FVE!$D$54+FVE!$F$54),""))))))</f>
        <v/>
      </c>
      <c r="G43" s="162"/>
      <c r="H43" s="24">
        <f>IF(OR(D43&lt;3,D43&gt;5000,$I$53&lt;0.1*(FVE!$D$54+FVE!$F$54),'Bateriová úložiště'!$D$53&gt;=(FVE!$D$54+FVE!$F$54)),0,IF(AND(D43&lt;=200,J43&lt;=0.6*(FVE!$D$54+FVE!$F$54),(J43+'Bateriová úložiště'!$D$53)&lt;=(FVE!$D$54+FVE!$F$54)),(1754822.82*D43^0.69),IF(AND(D43&lt;=200,(J43-0.6*(FVE!$D$54+FVE!$F$54))&gt;(J43+'Bateriová úložiště'!$D$53-(FVE!$D$54+FVE!$F$54)),(0.6*(FVE!$D$54+FVE!$F$54)-J42)&gt;0),1754822.82*(((0.6*(FVE!$D$54+FVE!$F$54)-J42)/6.2807)^(1/0.959))^0.69,IF(AND(D43&lt;=200,(J43-0.6*(FVE!$D$54+FVE!$F$54))&lt;=(J43+'Bateriová úložiště'!$D$53-(FVE!$D$54+FVE!$F$54)),((FVE!$D$54+FVE!$F$54)-'Bateriová úložiště'!$D$53-J42)&gt;0),1754822.82*(((J43-(J43+'Bateriová úložiště'!$D$53-(FVE!$D$54+FVE!$F$54))-J42)/6.2807)^(1/0.959))^0.69,IF(AND(D43&gt;200,J43&lt;=0.6*(FVE!$D$54+FVE!$F$54),(J43+'Bateriová úložiště'!$D$53)&lt;=(FVE!$D$54+FVE!$F$54)),(1559103.03*D43^0.71),IF(AND(D43&gt;200,(J43-0.6*(FVE!$D$54+FVE!$F$54))&gt;(J43+'Bateriová úložiště'!$D$53-(FVE!$D$54+FVE!$F$54)),(0.6*(FVE!$D$54+FVE!$F$54)-J42)&gt;0),1559103.03*((((0.6*(FVE!$D$54+FVE!$F$54)-J42))/6.2807)^(1/0.959))^0.71,IF(AND(D43&gt;200,(J43-0.6*(FVE!$D$54+FVE!$F$54))&lt;=(J43+'Bateriová úložiště'!$D$53-(FVE!$D$54+FVE!$F$54)),((FVE!$D$54+FVE!$F$54)-'Bateriová úložiště'!$D$53-J42)&gt;0),1559103.03*(((J43-(J43+'Bateriová úložiště'!$D$53-(FVE!$D$54+FVE!$F$54))-J42)/6.2807)^(1/0.959))^0.71,0)))))))</f>
        <v>0</v>
      </c>
      <c r="I43" s="24">
        <f t="shared" si="5"/>
        <v>0</v>
      </c>
      <c r="J43" s="24">
        <f>SUM($I$3:I43)</f>
        <v>0</v>
      </c>
      <c r="K43" s="24"/>
      <c r="L43" s="24" t="e">
        <f t="shared" si="0"/>
        <v>#VALUE!</v>
      </c>
      <c r="M43" s="24" t="e">
        <f>6.2807*(SUM(ABS($F$3:F43))^0.959)</f>
        <v>#VALUE!</v>
      </c>
      <c r="N43" s="14"/>
      <c r="O43" s="14"/>
      <c r="P43" s="14"/>
      <c r="Q43" s="14"/>
      <c r="R43" s="14"/>
      <c r="S43" s="14"/>
      <c r="T43" s="14"/>
      <c r="U43" s="14"/>
    </row>
    <row r="44" spans="1:21" ht="16.5" thickTop="1" thickBot="1" x14ac:dyDescent="0.3">
      <c r="A44" s="159"/>
      <c r="B44" s="91"/>
      <c r="C44" s="5"/>
      <c r="D44" s="95"/>
      <c r="E44" s="76"/>
      <c r="F44" s="77" t="str">
        <f>IF(OR(AND(D44&gt;0.0001,D44&lt;3),D44&gt;5000),"MIMO POVOLENÝ ROZSAH",IF(AND('Bateriová úložiště'!$D$53&lt;(FVE!$D$54+FVE!$F$54),J44&lt;0.1*(FVE!$D$54+FVE!$F$54)),-((ABS(J44-0.1*(FVE!$D$54+FVE!$F$54))/6.2807)^(1/0.959)),IF(AND('Bateriová úložiště'!$D$53&lt;(FVE!$D$54+FVE!$F$54),J44&gt;=0.1*(FVE!$D$54+FVE!$F$54),J44&lt;=0.6*(FVE!$D$54+FVE!$F$54),(J44+'Bateriová úložiště'!$D$53)&lt;(FVE!$D$54+FVE!$F$54),(J44-0.6*(FVE!$D$54+FVE!$F$54))&lt;(J44+'Bateriová úložiště'!$D$53-(FVE!$D$54+FVE!$F$54))),(((FVE!$D$54+FVE!$F$54)-(J44+'Bateriová úložiště'!$D$53))/6.2807)^(1/0.959),IF(AND('Bateriová úložiště'!$D$53&lt;(FVE!$D$54+FVE!$F$54),J44&gt;=0.1*(FVE!$D$54+FVE!$F$54),J44&lt;=0.6*(FVE!$D$54+FVE!$F$54),(J44+'Bateriová úložiště'!$D$53)&lt;(FVE!$D$54+FVE!$F$54),(J44-0.6*(FVE!$D$54+FVE!$F$54))&gt;=(J44+'Bateriová úložiště'!$D$53-(FVE!$D$54+FVE!$F$54))),((0.6*(FVE!$D$54+FVE!$F$54)-J44)/6.2807)^(1/0.959),IF(AND(OR((J44+'Bateriová úložiště'!$D$53)&gt;=(FVE!$D$54+FVE!$F$54),J44&gt;=0.6*(FVE!$D$54+FVE!$F$54)),(J43+'Bateriová úložiště'!$D$53)&lt;(FVE!$D$54+FVE!$F$54),J43&lt;0.6*(FVE!$D$54+FVE!$F$54)),"MAX. DOTACE BYLA DOSAŽENA (100% VÝKONU FVE) - DALŠÍ VÝDAJE JSOU NEZPŮSOBILÉ",IF(OR(J43&gt;=0.6*(FVE!$D$54+FVE!$F$54),(J43+'Bateriová úložiště'!$D$53))&gt;=(FVE!$D$54+FVE!$F$54),""))))))</f>
        <v/>
      </c>
      <c r="G44" s="162"/>
      <c r="H44" s="24">
        <f>IF(OR(D44&lt;3,D44&gt;5000,$I$53&lt;0.1*(FVE!$D$54+FVE!$F$54),'Bateriová úložiště'!$D$53&gt;=(FVE!$D$54+FVE!$F$54)),0,IF(AND(D44&lt;=200,J44&lt;=0.6*(FVE!$D$54+FVE!$F$54),(J44+'Bateriová úložiště'!$D$53)&lt;=(FVE!$D$54+FVE!$F$54)),(1754822.82*D44^0.69),IF(AND(D44&lt;=200,(J44-0.6*(FVE!$D$54+FVE!$F$54))&gt;(J44+'Bateriová úložiště'!$D$53-(FVE!$D$54+FVE!$F$54)),(0.6*(FVE!$D$54+FVE!$F$54)-J43)&gt;0),1754822.82*(((0.6*(FVE!$D$54+FVE!$F$54)-J43)/6.2807)^(1/0.959))^0.69,IF(AND(D44&lt;=200,(J44-0.6*(FVE!$D$54+FVE!$F$54))&lt;=(J44+'Bateriová úložiště'!$D$53-(FVE!$D$54+FVE!$F$54)),((FVE!$D$54+FVE!$F$54)-'Bateriová úložiště'!$D$53-J43)&gt;0),1754822.82*(((J44-(J44+'Bateriová úložiště'!$D$53-(FVE!$D$54+FVE!$F$54))-J43)/6.2807)^(1/0.959))^0.69,IF(AND(D44&gt;200,J44&lt;=0.6*(FVE!$D$54+FVE!$F$54),(J44+'Bateriová úložiště'!$D$53)&lt;=(FVE!$D$54+FVE!$F$54)),(1559103.03*D44^0.71),IF(AND(D44&gt;200,(J44-0.6*(FVE!$D$54+FVE!$F$54))&gt;(J44+'Bateriová úložiště'!$D$53-(FVE!$D$54+FVE!$F$54)),(0.6*(FVE!$D$54+FVE!$F$54)-J43)&gt;0),1559103.03*((((0.6*(FVE!$D$54+FVE!$F$54)-J43))/6.2807)^(1/0.959))^0.71,IF(AND(D44&gt;200,(J44-0.6*(FVE!$D$54+FVE!$F$54))&lt;=(J44+'Bateriová úložiště'!$D$53-(FVE!$D$54+FVE!$F$54)),((FVE!$D$54+FVE!$F$54)-'Bateriová úložiště'!$D$53-J43)&gt;0),1559103.03*(((J44-(J44+'Bateriová úložiště'!$D$53-(FVE!$D$54+FVE!$F$54))-J43)/6.2807)^(1/0.959))^0.71,0)))))))</f>
        <v>0</v>
      </c>
      <c r="I44" s="24">
        <f t="shared" si="5"/>
        <v>0</v>
      </c>
      <c r="J44" s="24">
        <f>SUM($I$3:I44)</f>
        <v>0</v>
      </c>
      <c r="K44" s="24"/>
      <c r="L44" s="24" t="e">
        <f t="shared" si="0"/>
        <v>#VALUE!</v>
      </c>
      <c r="M44" s="24" t="e">
        <f>6.2807*(SUM(ABS($F$3:F44))^0.959)</f>
        <v>#VALUE!</v>
      </c>
      <c r="N44" s="14"/>
      <c r="O44" s="14"/>
      <c r="P44" s="14"/>
      <c r="Q44" s="14"/>
      <c r="R44" s="14"/>
      <c r="S44" s="14"/>
      <c r="T44" s="14"/>
      <c r="U44" s="14"/>
    </row>
    <row r="45" spans="1:21" ht="16.5" thickTop="1" thickBot="1" x14ac:dyDescent="0.3">
      <c r="A45" s="159"/>
      <c r="B45" s="91"/>
      <c r="C45" s="5"/>
      <c r="D45" s="94"/>
      <c r="E45" s="76"/>
      <c r="F45" s="77" t="str">
        <f>IF(OR(AND(D45&gt;0.0001,D45&lt;3),D45&gt;5000),"MIMO POVOLENÝ ROZSAH",IF(AND('Bateriová úložiště'!$D$53&lt;(FVE!$D$54+FVE!$F$54),J45&lt;0.1*(FVE!$D$54+FVE!$F$54)),-((ABS(J45-0.1*(FVE!$D$54+FVE!$F$54))/6.2807)^(1/0.959)),IF(AND('Bateriová úložiště'!$D$53&lt;(FVE!$D$54+FVE!$F$54),J45&gt;=0.1*(FVE!$D$54+FVE!$F$54),J45&lt;=0.6*(FVE!$D$54+FVE!$F$54),(J45+'Bateriová úložiště'!$D$53)&lt;(FVE!$D$54+FVE!$F$54),(J45-0.6*(FVE!$D$54+FVE!$F$54))&lt;(J45+'Bateriová úložiště'!$D$53-(FVE!$D$54+FVE!$F$54))),(((FVE!$D$54+FVE!$F$54)-(J45+'Bateriová úložiště'!$D$53))/6.2807)^(1/0.959),IF(AND('Bateriová úložiště'!$D$53&lt;(FVE!$D$54+FVE!$F$54),J45&gt;=0.1*(FVE!$D$54+FVE!$F$54),J45&lt;=0.6*(FVE!$D$54+FVE!$F$54),(J45+'Bateriová úložiště'!$D$53)&lt;(FVE!$D$54+FVE!$F$54),(J45-0.6*(FVE!$D$54+FVE!$F$54))&gt;=(J45+'Bateriová úložiště'!$D$53-(FVE!$D$54+FVE!$F$54))),((0.6*(FVE!$D$54+FVE!$F$54)-J45)/6.2807)^(1/0.959),IF(AND(OR((J45+'Bateriová úložiště'!$D$53)&gt;=(FVE!$D$54+FVE!$F$54),J45&gt;=0.6*(FVE!$D$54+FVE!$F$54)),(J44+'Bateriová úložiště'!$D$53)&lt;(FVE!$D$54+FVE!$F$54),J44&lt;0.6*(FVE!$D$54+FVE!$F$54)),"MAX. DOTACE BYLA DOSAŽENA (100% VÝKONU FVE) - DALŠÍ VÝDAJE JSOU NEZPŮSOBILÉ",IF(OR(J44&gt;=0.6*(FVE!$D$54+FVE!$F$54),(J44+'Bateriová úložiště'!$D$53))&gt;=(FVE!$D$54+FVE!$F$54),""))))))</f>
        <v/>
      </c>
      <c r="G45" s="162"/>
      <c r="H45" s="24">
        <f>IF(OR(D45&lt;3,D45&gt;5000,$I$53&lt;0.1*(FVE!$D$54+FVE!$F$54),'Bateriová úložiště'!$D$53&gt;=(FVE!$D$54+FVE!$F$54)),0,IF(AND(D45&lt;=200,J45&lt;=0.6*(FVE!$D$54+FVE!$F$54),(J45+'Bateriová úložiště'!$D$53)&lt;=(FVE!$D$54+FVE!$F$54)),(1754822.82*D45^0.69),IF(AND(D45&lt;=200,(J45-0.6*(FVE!$D$54+FVE!$F$54))&gt;(J45+'Bateriová úložiště'!$D$53-(FVE!$D$54+FVE!$F$54)),(0.6*(FVE!$D$54+FVE!$F$54)-J44)&gt;0),1754822.82*(((0.6*(FVE!$D$54+FVE!$F$54)-J44)/6.2807)^(1/0.959))^0.69,IF(AND(D45&lt;=200,(J45-0.6*(FVE!$D$54+FVE!$F$54))&lt;=(J45+'Bateriová úložiště'!$D$53-(FVE!$D$54+FVE!$F$54)),((FVE!$D$54+FVE!$F$54)-'Bateriová úložiště'!$D$53-J44)&gt;0),1754822.82*(((J45-(J45+'Bateriová úložiště'!$D$53-(FVE!$D$54+FVE!$F$54))-J44)/6.2807)^(1/0.959))^0.69,IF(AND(D45&gt;200,J45&lt;=0.6*(FVE!$D$54+FVE!$F$54),(J45+'Bateriová úložiště'!$D$53)&lt;=(FVE!$D$54+FVE!$F$54)),(1559103.03*D45^0.71),IF(AND(D45&gt;200,(J45-0.6*(FVE!$D$54+FVE!$F$54))&gt;(J45+'Bateriová úložiště'!$D$53-(FVE!$D$54+FVE!$F$54)),(0.6*(FVE!$D$54+FVE!$F$54)-J44)&gt;0),1559103.03*((((0.6*(FVE!$D$54+FVE!$F$54)-J44))/6.2807)^(1/0.959))^0.71,IF(AND(D45&gt;200,(J45-0.6*(FVE!$D$54+FVE!$F$54))&lt;=(J45+'Bateriová úložiště'!$D$53-(FVE!$D$54+FVE!$F$54)),((FVE!$D$54+FVE!$F$54)-'Bateriová úložiště'!$D$53-J44)&gt;0),1559103.03*(((J45-(J45+'Bateriová úložiště'!$D$53-(FVE!$D$54+FVE!$F$54))-J44)/6.2807)^(1/0.959))^0.71,0)))))))</f>
        <v>0</v>
      </c>
      <c r="I45" s="24">
        <f t="shared" si="5"/>
        <v>0</v>
      </c>
      <c r="J45" s="24">
        <f>SUM($I$3:I45)</f>
        <v>0</v>
      </c>
      <c r="K45" s="24"/>
      <c r="L45" s="24" t="e">
        <f t="shared" si="0"/>
        <v>#VALUE!</v>
      </c>
      <c r="M45" s="24" t="e">
        <f>6.2807*(SUM(ABS($F$3:F45))^0.959)</f>
        <v>#VALUE!</v>
      </c>
      <c r="N45" s="14"/>
      <c r="O45" s="14"/>
      <c r="P45" s="14"/>
      <c r="Q45" s="14"/>
      <c r="R45" s="14"/>
      <c r="S45" s="14"/>
      <c r="T45" s="14"/>
      <c r="U45" s="14"/>
    </row>
    <row r="46" spans="1:21" ht="16.5" thickTop="1" thickBot="1" x14ac:dyDescent="0.3">
      <c r="A46" s="159"/>
      <c r="B46" s="91"/>
      <c r="C46" s="5"/>
      <c r="D46" s="95"/>
      <c r="E46" s="76"/>
      <c r="F46" s="77" t="str">
        <f>IF(OR(AND(D46&gt;0.0001,D46&lt;3),D46&gt;5000),"MIMO POVOLENÝ ROZSAH",IF(AND('Bateriová úložiště'!$D$53&lt;(FVE!$D$54+FVE!$F$54),J46&lt;0.1*(FVE!$D$54+FVE!$F$54)),-((ABS(J46-0.1*(FVE!$D$54+FVE!$F$54))/6.2807)^(1/0.959)),IF(AND('Bateriová úložiště'!$D$53&lt;(FVE!$D$54+FVE!$F$54),J46&gt;=0.1*(FVE!$D$54+FVE!$F$54),J46&lt;=0.6*(FVE!$D$54+FVE!$F$54),(J46+'Bateriová úložiště'!$D$53)&lt;(FVE!$D$54+FVE!$F$54),(J46-0.6*(FVE!$D$54+FVE!$F$54))&lt;(J46+'Bateriová úložiště'!$D$53-(FVE!$D$54+FVE!$F$54))),(((FVE!$D$54+FVE!$F$54)-(J46+'Bateriová úložiště'!$D$53))/6.2807)^(1/0.959),IF(AND('Bateriová úložiště'!$D$53&lt;(FVE!$D$54+FVE!$F$54),J46&gt;=0.1*(FVE!$D$54+FVE!$F$54),J46&lt;=0.6*(FVE!$D$54+FVE!$F$54),(J46+'Bateriová úložiště'!$D$53)&lt;(FVE!$D$54+FVE!$F$54),(J46-0.6*(FVE!$D$54+FVE!$F$54))&gt;=(J46+'Bateriová úložiště'!$D$53-(FVE!$D$54+FVE!$F$54))),((0.6*(FVE!$D$54+FVE!$F$54)-J46)/6.2807)^(1/0.959),IF(AND(OR((J46+'Bateriová úložiště'!$D$53)&gt;=(FVE!$D$54+FVE!$F$54),J46&gt;=0.6*(FVE!$D$54+FVE!$F$54)),(J45+'Bateriová úložiště'!$D$53)&lt;(FVE!$D$54+FVE!$F$54),J45&lt;0.6*(FVE!$D$54+FVE!$F$54)),"MAX. DOTACE BYLA DOSAŽENA (100% VÝKONU FVE) - DALŠÍ VÝDAJE JSOU NEZPŮSOBILÉ",IF(OR(J45&gt;=0.6*(FVE!$D$54+FVE!$F$54),(J45+'Bateriová úložiště'!$D$53))&gt;=(FVE!$D$54+FVE!$F$54),""))))))</f>
        <v/>
      </c>
      <c r="G46" s="162"/>
      <c r="H46" s="24">
        <f>IF(OR(D46&lt;3,D46&gt;5000,$I$53&lt;0.1*(FVE!$D$54+FVE!$F$54),'Bateriová úložiště'!$D$53&gt;=(FVE!$D$54+FVE!$F$54)),0,IF(AND(D46&lt;=200,J46&lt;=0.6*(FVE!$D$54+FVE!$F$54),(J46+'Bateriová úložiště'!$D$53)&lt;=(FVE!$D$54+FVE!$F$54)),(1754822.82*D46^0.69),IF(AND(D46&lt;=200,(J46-0.6*(FVE!$D$54+FVE!$F$54))&gt;(J46+'Bateriová úložiště'!$D$53-(FVE!$D$54+FVE!$F$54)),(0.6*(FVE!$D$54+FVE!$F$54)-J45)&gt;0),1754822.82*(((0.6*(FVE!$D$54+FVE!$F$54)-J45)/6.2807)^(1/0.959))^0.69,IF(AND(D46&lt;=200,(J46-0.6*(FVE!$D$54+FVE!$F$54))&lt;=(J46+'Bateriová úložiště'!$D$53-(FVE!$D$54+FVE!$F$54)),((FVE!$D$54+FVE!$F$54)-'Bateriová úložiště'!$D$53-J45)&gt;0),1754822.82*(((J46-(J46+'Bateriová úložiště'!$D$53-(FVE!$D$54+FVE!$F$54))-J45)/6.2807)^(1/0.959))^0.69,IF(AND(D46&gt;200,J46&lt;=0.6*(FVE!$D$54+FVE!$F$54),(J46+'Bateriová úložiště'!$D$53)&lt;=(FVE!$D$54+FVE!$F$54)),(1559103.03*D46^0.71),IF(AND(D46&gt;200,(J46-0.6*(FVE!$D$54+FVE!$F$54))&gt;(J46+'Bateriová úložiště'!$D$53-(FVE!$D$54+FVE!$F$54)),(0.6*(FVE!$D$54+FVE!$F$54)-J45)&gt;0),1559103.03*((((0.6*(FVE!$D$54+FVE!$F$54)-J45))/6.2807)^(1/0.959))^0.71,IF(AND(D46&gt;200,(J46-0.6*(FVE!$D$54+FVE!$F$54))&lt;=(J46+'Bateriová úložiště'!$D$53-(FVE!$D$54+FVE!$F$54)),((FVE!$D$54+FVE!$F$54)-'Bateriová úložiště'!$D$53-J45)&gt;0),1559103.03*(((J46-(J46+'Bateriová úložiště'!$D$53-(FVE!$D$54+FVE!$F$54))-J45)/6.2807)^(1/0.959))^0.71,0)))))))</f>
        <v>0</v>
      </c>
      <c r="I46" s="24">
        <f t="shared" si="5"/>
        <v>0</v>
      </c>
      <c r="J46" s="24">
        <f>SUM($I$3:I46)</f>
        <v>0</v>
      </c>
      <c r="K46" s="24"/>
      <c r="L46" s="24" t="e">
        <f t="shared" si="0"/>
        <v>#VALUE!</v>
      </c>
      <c r="M46" s="24" t="e">
        <f>6.2807*(SUM(ABS($F$3:F46))^0.959)</f>
        <v>#VALUE!</v>
      </c>
      <c r="N46" s="14"/>
      <c r="O46" s="14"/>
      <c r="P46" s="14"/>
      <c r="Q46" s="14"/>
      <c r="R46" s="14"/>
      <c r="S46" s="14"/>
      <c r="T46" s="14"/>
      <c r="U46" s="14"/>
    </row>
    <row r="47" spans="1:21" ht="16.5" thickTop="1" thickBot="1" x14ac:dyDescent="0.3">
      <c r="A47" s="159"/>
      <c r="B47" s="91"/>
      <c r="C47" s="5"/>
      <c r="D47" s="95"/>
      <c r="E47" s="76"/>
      <c r="F47" s="77" t="str">
        <f>IF(OR(AND(D47&gt;0.0001,D47&lt;3),D47&gt;5000),"MIMO POVOLENÝ ROZSAH",IF(AND('Bateriová úložiště'!$D$53&lt;(FVE!$D$54+FVE!$F$54),J47&lt;0.1*(FVE!$D$54+FVE!$F$54)),-((ABS(J47-0.1*(FVE!$D$54+FVE!$F$54))/6.2807)^(1/0.959)),IF(AND('Bateriová úložiště'!$D$53&lt;(FVE!$D$54+FVE!$F$54),J47&gt;=0.1*(FVE!$D$54+FVE!$F$54),J47&lt;=0.6*(FVE!$D$54+FVE!$F$54),(J47+'Bateriová úložiště'!$D$53)&lt;(FVE!$D$54+FVE!$F$54),(J47-0.6*(FVE!$D$54+FVE!$F$54))&lt;(J47+'Bateriová úložiště'!$D$53-(FVE!$D$54+FVE!$F$54))),(((FVE!$D$54+FVE!$F$54)-(J47+'Bateriová úložiště'!$D$53))/6.2807)^(1/0.959),IF(AND('Bateriová úložiště'!$D$53&lt;(FVE!$D$54+FVE!$F$54),J47&gt;=0.1*(FVE!$D$54+FVE!$F$54),J47&lt;=0.6*(FVE!$D$54+FVE!$F$54),(J47+'Bateriová úložiště'!$D$53)&lt;(FVE!$D$54+FVE!$F$54),(J47-0.6*(FVE!$D$54+FVE!$F$54))&gt;=(J47+'Bateriová úložiště'!$D$53-(FVE!$D$54+FVE!$F$54))),((0.6*(FVE!$D$54+FVE!$F$54)-J47)/6.2807)^(1/0.959),IF(AND(OR((J47+'Bateriová úložiště'!$D$53)&gt;=(FVE!$D$54+FVE!$F$54),J47&gt;=0.6*(FVE!$D$54+FVE!$F$54)),(J46+'Bateriová úložiště'!$D$53)&lt;(FVE!$D$54+FVE!$F$54),J46&lt;0.6*(FVE!$D$54+FVE!$F$54)),"MAX. DOTACE BYLA DOSAŽENA (100% VÝKONU FVE) - DALŠÍ VÝDAJE JSOU NEZPŮSOBILÉ",IF(OR(J46&gt;=0.6*(FVE!$D$54+FVE!$F$54),(J46+'Bateriová úložiště'!$D$53))&gt;=(FVE!$D$54+FVE!$F$54),""))))))</f>
        <v/>
      </c>
      <c r="G47" s="162"/>
      <c r="H47" s="24">
        <f>IF(OR(D47&lt;3,D47&gt;5000,$I$53&lt;0.1*(FVE!$D$54+FVE!$F$54),'Bateriová úložiště'!$D$53&gt;=(FVE!$D$54+FVE!$F$54)),0,IF(AND(D47&lt;=200,J47&lt;=0.6*(FVE!$D$54+FVE!$F$54),(J47+'Bateriová úložiště'!$D$53)&lt;=(FVE!$D$54+FVE!$F$54)),(1754822.82*D47^0.69),IF(AND(D47&lt;=200,(J47-0.6*(FVE!$D$54+FVE!$F$54))&gt;(J47+'Bateriová úložiště'!$D$53-(FVE!$D$54+FVE!$F$54)),(0.6*(FVE!$D$54+FVE!$F$54)-J46)&gt;0),1754822.82*(((0.6*(FVE!$D$54+FVE!$F$54)-J46)/6.2807)^(1/0.959))^0.69,IF(AND(D47&lt;=200,(J47-0.6*(FVE!$D$54+FVE!$F$54))&lt;=(J47+'Bateriová úložiště'!$D$53-(FVE!$D$54+FVE!$F$54)),((FVE!$D$54+FVE!$F$54)-'Bateriová úložiště'!$D$53-J46)&gt;0),1754822.82*(((J47-(J47+'Bateriová úložiště'!$D$53-(FVE!$D$54+FVE!$F$54))-J46)/6.2807)^(1/0.959))^0.69,IF(AND(D47&gt;200,J47&lt;=0.6*(FVE!$D$54+FVE!$F$54),(J47+'Bateriová úložiště'!$D$53)&lt;=(FVE!$D$54+FVE!$F$54)),(1559103.03*D47^0.71),IF(AND(D47&gt;200,(J47-0.6*(FVE!$D$54+FVE!$F$54))&gt;(J47+'Bateriová úložiště'!$D$53-(FVE!$D$54+FVE!$F$54)),(0.6*(FVE!$D$54+FVE!$F$54)-J46)&gt;0),1559103.03*((((0.6*(FVE!$D$54+FVE!$F$54)-J46))/6.2807)^(1/0.959))^0.71,IF(AND(D47&gt;200,(J47-0.6*(FVE!$D$54+FVE!$F$54))&lt;=(J47+'Bateriová úložiště'!$D$53-(FVE!$D$54+FVE!$F$54)),((FVE!$D$54+FVE!$F$54)-'Bateriová úložiště'!$D$53-J46)&gt;0),1559103.03*(((J47-(J47+'Bateriová úložiště'!$D$53-(FVE!$D$54+FVE!$F$54))-J46)/6.2807)^(1/0.959))^0.71,0)))))))</f>
        <v>0</v>
      </c>
      <c r="I47" s="24">
        <f t="shared" si="5"/>
        <v>0</v>
      </c>
      <c r="J47" s="24">
        <f>SUM($I$3:I47)</f>
        <v>0</v>
      </c>
      <c r="K47" s="24"/>
      <c r="L47" s="24" t="e">
        <f t="shared" si="0"/>
        <v>#VALUE!</v>
      </c>
      <c r="M47" s="24" t="e">
        <f>6.2807*(SUM(ABS($F$3:F47))^0.959)</f>
        <v>#VALUE!</v>
      </c>
      <c r="N47" s="14"/>
      <c r="O47" s="14"/>
      <c r="P47" s="14"/>
      <c r="Q47" s="14"/>
      <c r="R47" s="14"/>
      <c r="S47" s="14"/>
      <c r="T47" s="14"/>
      <c r="U47" s="14"/>
    </row>
    <row r="48" spans="1:21" ht="16.5" thickTop="1" thickBot="1" x14ac:dyDescent="0.3">
      <c r="A48" s="159"/>
      <c r="B48" s="92"/>
      <c r="C48" s="5"/>
      <c r="D48" s="95"/>
      <c r="E48" s="76"/>
      <c r="F48" s="77" t="str">
        <f>IF(OR(AND(D48&gt;0.0001,D48&lt;3),D48&gt;5000),"MIMO POVOLENÝ ROZSAH",IF(AND('Bateriová úložiště'!$D$53&lt;(FVE!$D$54+FVE!$F$54),J48&lt;0.1*(FVE!$D$54+FVE!$F$54)),-((ABS(J48-0.1*(FVE!$D$54+FVE!$F$54))/6.2807)^(1/0.959)),IF(AND('Bateriová úložiště'!$D$53&lt;(FVE!$D$54+FVE!$F$54),J48&gt;=0.1*(FVE!$D$54+FVE!$F$54),J48&lt;=0.6*(FVE!$D$54+FVE!$F$54),(J48+'Bateriová úložiště'!$D$53)&lt;(FVE!$D$54+FVE!$F$54),(J48-0.6*(FVE!$D$54+FVE!$F$54))&lt;(J48+'Bateriová úložiště'!$D$53-(FVE!$D$54+FVE!$F$54))),(((FVE!$D$54+FVE!$F$54)-(J48+'Bateriová úložiště'!$D$53))/6.2807)^(1/0.959),IF(AND('Bateriová úložiště'!$D$53&lt;(FVE!$D$54+FVE!$F$54),J48&gt;=0.1*(FVE!$D$54+FVE!$F$54),J48&lt;=0.6*(FVE!$D$54+FVE!$F$54),(J48+'Bateriová úložiště'!$D$53)&lt;(FVE!$D$54+FVE!$F$54),(J48-0.6*(FVE!$D$54+FVE!$F$54))&gt;=(J48+'Bateriová úložiště'!$D$53-(FVE!$D$54+FVE!$F$54))),((0.6*(FVE!$D$54+FVE!$F$54)-J48)/6.2807)^(1/0.959),IF(AND(OR((J48+'Bateriová úložiště'!$D$53)&gt;=(FVE!$D$54+FVE!$F$54),J48&gt;=0.6*(FVE!$D$54+FVE!$F$54)),(J47+'Bateriová úložiště'!$D$53)&lt;(FVE!$D$54+FVE!$F$54),J47&lt;0.6*(FVE!$D$54+FVE!$F$54)),"MAX. DOTACE BYLA DOSAŽENA (100% VÝKONU FVE) - DALŠÍ VÝDAJE JSOU NEZPŮSOBILÉ",IF(OR(J47&gt;=0.6*(FVE!$D$54+FVE!$F$54),(J47+'Bateriová úložiště'!$D$53))&gt;=(FVE!$D$54+FVE!$F$54),""))))))</f>
        <v/>
      </c>
      <c r="G48" s="162"/>
      <c r="H48" s="24">
        <f>IF(OR(D48&lt;3,D48&gt;5000,$I$53&lt;0.1*(FVE!$D$54+FVE!$F$54),'Bateriová úložiště'!$D$53&gt;=(FVE!$D$54+FVE!$F$54)),0,IF(AND(D48&lt;=200,J48&lt;=0.6*(FVE!$D$54+FVE!$F$54),(J48+'Bateriová úložiště'!$D$53)&lt;=(FVE!$D$54+FVE!$F$54)),(1754822.82*D48^0.69),IF(AND(D48&lt;=200,(J48-0.6*(FVE!$D$54+FVE!$F$54))&gt;(J48+'Bateriová úložiště'!$D$53-(FVE!$D$54+FVE!$F$54)),(0.6*(FVE!$D$54+FVE!$F$54)-J47)&gt;0),1754822.82*(((0.6*(FVE!$D$54+FVE!$F$54)-J47)/6.2807)^(1/0.959))^0.69,IF(AND(D48&lt;=200,(J48-0.6*(FVE!$D$54+FVE!$F$54))&lt;=(J48+'Bateriová úložiště'!$D$53-(FVE!$D$54+FVE!$F$54)),((FVE!$D$54+FVE!$F$54)-'Bateriová úložiště'!$D$53-J47)&gt;0),1754822.82*(((J48-(J48+'Bateriová úložiště'!$D$53-(FVE!$D$54+FVE!$F$54))-J47)/6.2807)^(1/0.959))^0.69,IF(AND(D48&gt;200,J48&lt;=0.6*(FVE!$D$54+FVE!$F$54),(J48+'Bateriová úložiště'!$D$53)&lt;=(FVE!$D$54+FVE!$F$54)),(1559103.03*D48^0.71),IF(AND(D48&gt;200,(J48-0.6*(FVE!$D$54+FVE!$F$54))&gt;(J48+'Bateriová úložiště'!$D$53-(FVE!$D$54+FVE!$F$54)),(0.6*(FVE!$D$54+FVE!$F$54)-J47)&gt;0),1559103.03*((((0.6*(FVE!$D$54+FVE!$F$54)-J47))/6.2807)^(1/0.959))^0.71,IF(AND(D48&gt;200,(J48-0.6*(FVE!$D$54+FVE!$F$54))&lt;=(J48+'Bateriová úložiště'!$D$53-(FVE!$D$54+FVE!$F$54)),((FVE!$D$54+FVE!$F$54)-'Bateriová úložiště'!$D$53-J47)&gt;0),1559103.03*(((J48-(J48+'Bateriová úložiště'!$D$53-(FVE!$D$54+FVE!$F$54))-J47)/6.2807)^(1/0.959))^0.71,0)))))))</f>
        <v>0</v>
      </c>
      <c r="I48" s="24">
        <f t="shared" si="5"/>
        <v>0</v>
      </c>
      <c r="J48" s="24">
        <f>SUM($I$3:I48)</f>
        <v>0</v>
      </c>
      <c r="K48" s="24"/>
      <c r="L48" s="24" t="e">
        <f t="shared" si="0"/>
        <v>#VALUE!</v>
      </c>
      <c r="M48" s="24" t="e">
        <f>6.2807*(SUM(ABS($F$3:F48))^0.959)</f>
        <v>#VALUE!</v>
      </c>
      <c r="N48" s="14"/>
      <c r="O48" s="14"/>
      <c r="P48" s="14"/>
      <c r="Q48" s="14"/>
      <c r="R48" s="14"/>
      <c r="S48" s="14"/>
      <c r="T48" s="14"/>
      <c r="U48" s="14"/>
    </row>
    <row r="49" spans="1:21" ht="16.5" thickTop="1" thickBot="1" x14ac:dyDescent="0.3">
      <c r="A49" s="159"/>
      <c r="B49" s="91"/>
      <c r="C49" s="5"/>
      <c r="D49" s="95"/>
      <c r="E49" s="76"/>
      <c r="F49" s="77" t="str">
        <f>IF(OR(AND(D49&gt;0.0001,D49&lt;3),D49&gt;5000),"MIMO POVOLENÝ ROZSAH",IF(AND('Bateriová úložiště'!$D$53&lt;(FVE!$D$54+FVE!$F$54),J49&lt;0.1*(FVE!$D$54+FVE!$F$54)),-((ABS(J49-0.1*(FVE!$D$54+FVE!$F$54))/6.2807)^(1/0.959)),IF(AND('Bateriová úložiště'!$D$53&lt;(FVE!$D$54+FVE!$F$54),J49&gt;=0.1*(FVE!$D$54+FVE!$F$54),J49&lt;=0.6*(FVE!$D$54+FVE!$F$54),(J49+'Bateriová úložiště'!$D$53)&lt;(FVE!$D$54+FVE!$F$54),(J49-0.6*(FVE!$D$54+FVE!$F$54))&lt;(J49+'Bateriová úložiště'!$D$53-(FVE!$D$54+FVE!$F$54))),(((FVE!$D$54+FVE!$F$54)-(J49+'Bateriová úložiště'!$D$53))/6.2807)^(1/0.959),IF(AND('Bateriová úložiště'!$D$53&lt;(FVE!$D$54+FVE!$F$54),J49&gt;=0.1*(FVE!$D$54+FVE!$F$54),J49&lt;=0.6*(FVE!$D$54+FVE!$F$54),(J49+'Bateriová úložiště'!$D$53)&lt;(FVE!$D$54+FVE!$F$54),(J49-0.6*(FVE!$D$54+FVE!$F$54))&gt;=(J49+'Bateriová úložiště'!$D$53-(FVE!$D$54+FVE!$F$54))),((0.6*(FVE!$D$54+FVE!$F$54)-J49)/6.2807)^(1/0.959),IF(AND(OR((J49+'Bateriová úložiště'!$D$53)&gt;=(FVE!$D$54+FVE!$F$54),J49&gt;=0.6*(FVE!$D$54+FVE!$F$54)),(J48+'Bateriová úložiště'!$D$53)&lt;(FVE!$D$54+FVE!$F$54),J48&lt;0.6*(FVE!$D$54+FVE!$F$54)),"MAX. DOTACE BYLA DOSAŽENA (100% VÝKONU FVE) - DALŠÍ VÝDAJE JSOU NEZPŮSOBILÉ",IF(OR(J48&gt;=0.6*(FVE!$D$54+FVE!$F$54),(J48+'Bateriová úložiště'!$D$53))&gt;=(FVE!$D$54+FVE!$F$54),""))))))</f>
        <v/>
      </c>
      <c r="G49" s="162"/>
      <c r="H49" s="24">
        <f>IF(OR(D49&lt;3,D49&gt;5000,$I$53&lt;0.1*(FVE!$D$54+FVE!$F$54),'Bateriová úložiště'!$D$53&gt;=(FVE!$D$54+FVE!$F$54)),0,IF(AND(D49&lt;=200,J49&lt;=0.6*(FVE!$D$54+FVE!$F$54),(J49+'Bateriová úložiště'!$D$53)&lt;=(FVE!$D$54+FVE!$F$54)),(1754822.82*D49^0.69),IF(AND(D49&lt;=200,(J49-0.6*(FVE!$D$54+FVE!$F$54))&gt;(J49+'Bateriová úložiště'!$D$53-(FVE!$D$54+FVE!$F$54)),(0.6*(FVE!$D$54+FVE!$F$54)-J48)&gt;0),1754822.82*(((0.6*(FVE!$D$54+FVE!$F$54)-J48)/6.2807)^(1/0.959))^0.69,IF(AND(D49&lt;=200,(J49-0.6*(FVE!$D$54+FVE!$F$54))&lt;=(J49+'Bateriová úložiště'!$D$53-(FVE!$D$54+FVE!$F$54)),((FVE!$D$54+FVE!$F$54)-'Bateriová úložiště'!$D$53-J48)&gt;0),1754822.82*(((J49-(J49+'Bateriová úložiště'!$D$53-(FVE!$D$54+FVE!$F$54))-J48)/6.2807)^(1/0.959))^0.69,IF(AND(D49&gt;200,J49&lt;=0.6*(FVE!$D$54+FVE!$F$54),(J49+'Bateriová úložiště'!$D$53)&lt;=(FVE!$D$54+FVE!$F$54)),(1559103.03*D49^0.71),IF(AND(D49&gt;200,(J49-0.6*(FVE!$D$54+FVE!$F$54))&gt;(J49+'Bateriová úložiště'!$D$53-(FVE!$D$54+FVE!$F$54)),(0.6*(FVE!$D$54+FVE!$F$54)-J48)&gt;0),1559103.03*((((0.6*(FVE!$D$54+FVE!$F$54)-J48))/6.2807)^(1/0.959))^0.71,IF(AND(D49&gt;200,(J49-0.6*(FVE!$D$54+FVE!$F$54))&lt;=(J49+'Bateriová úložiště'!$D$53-(FVE!$D$54+FVE!$F$54)),((FVE!$D$54+FVE!$F$54)-'Bateriová úložiště'!$D$53-J48)&gt;0),1559103.03*(((J49-(J49+'Bateriová úložiště'!$D$53-(FVE!$D$54+FVE!$F$54))-J48)/6.2807)^(1/0.959))^0.71,0)))))))</f>
        <v>0</v>
      </c>
      <c r="I49" s="24">
        <f t="shared" si="5"/>
        <v>0</v>
      </c>
      <c r="J49" s="24">
        <f>SUM($I$3:I49)</f>
        <v>0</v>
      </c>
      <c r="K49" s="24"/>
      <c r="L49" s="24" t="e">
        <f t="shared" si="0"/>
        <v>#VALUE!</v>
      </c>
      <c r="M49" s="24" t="e">
        <f>6.2807*(SUM(ABS($F$3:F49))^0.959)</f>
        <v>#VALUE!</v>
      </c>
      <c r="N49" s="14"/>
      <c r="O49" s="14"/>
      <c r="P49" s="14"/>
      <c r="Q49" s="14"/>
      <c r="R49" s="14"/>
      <c r="S49" s="14"/>
      <c r="T49" s="14"/>
      <c r="U49" s="14"/>
    </row>
    <row r="50" spans="1:21" ht="16.5" thickTop="1" thickBot="1" x14ac:dyDescent="0.3">
      <c r="A50" s="159"/>
      <c r="B50" s="91"/>
      <c r="C50" s="5"/>
      <c r="D50" s="95"/>
      <c r="E50" s="76"/>
      <c r="F50" s="77" t="str">
        <f>IF(OR(AND(D50&gt;0.0001,D50&lt;3),D50&gt;5000),"MIMO POVOLENÝ ROZSAH",IF(AND('Bateriová úložiště'!$D$53&lt;(FVE!$D$54+FVE!$F$54),J50&lt;0.1*(FVE!$D$54+FVE!$F$54)),-((ABS(J50-0.1*(FVE!$D$54+FVE!$F$54))/6.2807)^(1/0.959)),IF(AND('Bateriová úložiště'!$D$53&lt;(FVE!$D$54+FVE!$F$54),J50&gt;=0.1*(FVE!$D$54+FVE!$F$54),J50&lt;=0.6*(FVE!$D$54+FVE!$F$54),(J50+'Bateriová úložiště'!$D$53)&lt;(FVE!$D$54+FVE!$F$54),(J50-0.6*(FVE!$D$54+FVE!$F$54))&lt;(J50+'Bateriová úložiště'!$D$53-(FVE!$D$54+FVE!$F$54))),(((FVE!$D$54+FVE!$F$54)-(J50+'Bateriová úložiště'!$D$53))/6.2807)^(1/0.959),IF(AND('Bateriová úložiště'!$D$53&lt;(FVE!$D$54+FVE!$F$54),J50&gt;=0.1*(FVE!$D$54+FVE!$F$54),J50&lt;=0.6*(FVE!$D$54+FVE!$F$54),(J50+'Bateriová úložiště'!$D$53)&lt;(FVE!$D$54+FVE!$F$54),(J50-0.6*(FVE!$D$54+FVE!$F$54))&gt;=(J50+'Bateriová úložiště'!$D$53-(FVE!$D$54+FVE!$F$54))),((0.6*(FVE!$D$54+FVE!$F$54)-J50)/6.2807)^(1/0.959),IF(AND(OR((J50+'Bateriová úložiště'!$D$53)&gt;=(FVE!$D$54+FVE!$F$54),J50&gt;=0.6*(FVE!$D$54+FVE!$F$54)),(J49+'Bateriová úložiště'!$D$53)&lt;(FVE!$D$54+FVE!$F$54),J49&lt;0.6*(FVE!$D$54+FVE!$F$54)),"MAX. DOTACE BYLA DOSAŽENA (100% VÝKONU FVE) - DALŠÍ VÝDAJE JSOU NEZPŮSOBILÉ",IF(OR(J49&gt;=0.6*(FVE!$D$54+FVE!$F$54),(J49+'Bateriová úložiště'!$D$53))&gt;=(FVE!$D$54+FVE!$F$54),""))))))</f>
        <v/>
      </c>
      <c r="G50" s="162"/>
      <c r="H50" s="24">
        <f>IF(OR(D50&lt;3,D50&gt;5000,$I$53&lt;0.1*(FVE!$D$54+FVE!$F$54),'Bateriová úložiště'!$D$53&gt;=(FVE!$D$54+FVE!$F$54)),0,IF(AND(D50&lt;=200,J50&lt;=0.6*(FVE!$D$54+FVE!$F$54),(J50+'Bateriová úložiště'!$D$53)&lt;=(FVE!$D$54+FVE!$F$54)),(1754822.82*D50^0.69),IF(AND(D50&lt;=200,(J50-0.6*(FVE!$D$54+FVE!$F$54))&gt;(J50+'Bateriová úložiště'!$D$53-(FVE!$D$54+FVE!$F$54)),(0.6*(FVE!$D$54+FVE!$F$54)-J49)&gt;0),1754822.82*(((0.6*(FVE!$D$54+FVE!$F$54)-J49)/6.2807)^(1/0.959))^0.69,IF(AND(D50&lt;=200,(J50-0.6*(FVE!$D$54+FVE!$F$54))&lt;=(J50+'Bateriová úložiště'!$D$53-(FVE!$D$54+FVE!$F$54)),((FVE!$D$54+FVE!$F$54)-'Bateriová úložiště'!$D$53-J49)&gt;0),1754822.82*(((J50-(J50+'Bateriová úložiště'!$D$53-(FVE!$D$54+FVE!$F$54))-J49)/6.2807)^(1/0.959))^0.69,IF(AND(D50&gt;200,J50&lt;=0.6*(FVE!$D$54+FVE!$F$54),(J50+'Bateriová úložiště'!$D$53)&lt;=(FVE!$D$54+FVE!$F$54)),(1559103.03*D50^0.71),IF(AND(D50&gt;200,(J50-0.6*(FVE!$D$54+FVE!$F$54))&gt;(J50+'Bateriová úložiště'!$D$53-(FVE!$D$54+FVE!$F$54)),(0.6*(FVE!$D$54+FVE!$F$54)-J49)&gt;0),1559103.03*((((0.6*(FVE!$D$54+FVE!$F$54)-J49))/6.2807)^(1/0.959))^0.71,IF(AND(D50&gt;200,(J50-0.6*(FVE!$D$54+FVE!$F$54))&lt;=(J50+'Bateriová úložiště'!$D$53-(FVE!$D$54+FVE!$F$54)),((FVE!$D$54+FVE!$F$54)-'Bateriová úložiště'!$D$53-J49)&gt;0),1559103.03*(((J50-(J50+'Bateriová úložiště'!$D$53-(FVE!$D$54+FVE!$F$54))-J49)/6.2807)^(1/0.959))^0.71,0)))))))</f>
        <v>0</v>
      </c>
      <c r="I50" s="24">
        <f t="shared" si="5"/>
        <v>0</v>
      </c>
      <c r="J50" s="24">
        <f>SUM($I$3:I50)</f>
        <v>0</v>
      </c>
      <c r="K50" s="24"/>
      <c r="L50" s="24" t="e">
        <f t="shared" si="0"/>
        <v>#VALUE!</v>
      </c>
      <c r="M50" s="24" t="e">
        <f>6.2807*(SUM(ABS($F$3:F50))^0.959)</f>
        <v>#VALUE!</v>
      </c>
      <c r="N50" s="14"/>
      <c r="O50" s="14"/>
      <c r="P50" s="14"/>
      <c r="Q50" s="14"/>
      <c r="R50" s="14"/>
      <c r="S50" s="14"/>
      <c r="T50" s="14"/>
      <c r="U50" s="14"/>
    </row>
    <row r="51" spans="1:21" ht="16.5" thickTop="1" thickBot="1" x14ac:dyDescent="0.3">
      <c r="A51" s="159"/>
      <c r="B51" s="91"/>
      <c r="C51" s="5"/>
      <c r="D51" s="95"/>
      <c r="E51" s="76"/>
      <c r="F51" s="77" t="str">
        <f>IF(OR(AND(D51&gt;0.0001,D51&lt;3),D51&gt;5000),"MIMO POVOLENÝ ROZSAH",IF(AND('Bateriová úložiště'!$D$53&lt;(FVE!$D$54+FVE!$F$54),J51&lt;0.1*(FVE!$D$54+FVE!$F$54)),-((ABS(J51-0.1*(FVE!$D$54+FVE!$F$54))/6.2807)^(1/0.959)),IF(AND('Bateriová úložiště'!$D$53&lt;(FVE!$D$54+FVE!$F$54),J51&gt;=0.1*(FVE!$D$54+FVE!$F$54),J51&lt;=0.6*(FVE!$D$54+FVE!$F$54),(J51+'Bateriová úložiště'!$D$53)&lt;(FVE!$D$54+FVE!$F$54),(J51-0.6*(FVE!$D$54+FVE!$F$54))&lt;(J51+'Bateriová úložiště'!$D$53-(FVE!$D$54+FVE!$F$54))),(((FVE!$D$54+FVE!$F$54)-(J51+'Bateriová úložiště'!$D$53))/6.2807)^(1/0.959),IF(AND('Bateriová úložiště'!$D$53&lt;(FVE!$D$54+FVE!$F$54),J51&gt;=0.1*(FVE!$D$54+FVE!$F$54),J51&lt;=0.6*(FVE!$D$54+FVE!$F$54),(J51+'Bateriová úložiště'!$D$53)&lt;(FVE!$D$54+FVE!$F$54),(J51-0.6*(FVE!$D$54+FVE!$F$54))&gt;=(J51+'Bateriová úložiště'!$D$53-(FVE!$D$54+FVE!$F$54))),((0.6*(FVE!$D$54+FVE!$F$54)-J51)/6.2807)^(1/0.959),IF(AND(OR((J51+'Bateriová úložiště'!$D$53)&gt;=(FVE!$D$54+FVE!$F$54),J51&gt;=0.6*(FVE!$D$54+FVE!$F$54)),(J50+'Bateriová úložiště'!$D$53)&lt;(FVE!$D$54+FVE!$F$54),J50&lt;0.6*(FVE!$D$54+FVE!$F$54)),"MAX. DOTACE BYLA DOSAŽENA (100% VÝKONU FVE) - DALŠÍ VÝDAJE JSOU NEZPŮSOBILÉ",IF(OR(J50&gt;=0.6*(FVE!$D$54+FVE!$F$54),(J50+'Bateriová úložiště'!$D$53))&gt;=(FVE!$D$54+FVE!$F$54),""))))))</f>
        <v/>
      </c>
      <c r="G51" s="162"/>
      <c r="H51" s="24">
        <f>IF(OR(D51&lt;3,D51&gt;5000,$I$53&lt;0.1*(FVE!$D$54+FVE!$F$54),'Bateriová úložiště'!$D$53&gt;=(FVE!$D$54+FVE!$F$54)),0,IF(AND(D51&lt;=200,J51&lt;=0.6*(FVE!$D$54+FVE!$F$54),(J51+'Bateriová úložiště'!$D$53)&lt;=(FVE!$D$54+FVE!$F$54)),(1754822.82*D51^0.69),IF(AND(D51&lt;=200,(J51-0.6*(FVE!$D$54+FVE!$F$54))&gt;(J51+'Bateriová úložiště'!$D$53-(FVE!$D$54+FVE!$F$54)),(0.6*(FVE!$D$54+FVE!$F$54)-J50)&gt;0),1754822.82*(((0.6*(FVE!$D$54+FVE!$F$54)-J50)/6.2807)^(1/0.959))^0.69,IF(AND(D51&lt;=200,(J51-0.6*(FVE!$D$54+FVE!$F$54))&lt;=(J51+'Bateriová úložiště'!$D$53-(FVE!$D$54+FVE!$F$54)),((FVE!$D$54+FVE!$F$54)-'Bateriová úložiště'!$D$53-J50)&gt;0),1754822.82*(((J51-(J51+'Bateriová úložiště'!$D$53-(FVE!$D$54+FVE!$F$54))-J50)/6.2807)^(1/0.959))^0.69,IF(AND(D51&gt;200,J51&lt;=0.6*(FVE!$D$54+FVE!$F$54),(J51+'Bateriová úložiště'!$D$53)&lt;=(FVE!$D$54+FVE!$F$54)),(1559103.03*D51^0.71),IF(AND(D51&gt;200,(J51-0.6*(FVE!$D$54+FVE!$F$54))&gt;(J51+'Bateriová úložiště'!$D$53-(FVE!$D$54+FVE!$F$54)),(0.6*(FVE!$D$54+FVE!$F$54)-J50)&gt;0),1559103.03*((((0.6*(FVE!$D$54+FVE!$F$54)-J50))/6.2807)^(1/0.959))^0.71,IF(AND(D51&gt;200,(J51-0.6*(FVE!$D$54+FVE!$F$54))&lt;=(J51+'Bateriová úložiště'!$D$53-(FVE!$D$54+FVE!$F$54)),((FVE!$D$54+FVE!$F$54)-'Bateriová úložiště'!$D$53-J50)&gt;0),1559103.03*(((J51-(J51+'Bateriová úložiště'!$D$53-(FVE!$D$54+FVE!$F$54))-J50)/6.2807)^(1/0.959))^0.71,0)))))))</f>
        <v>0</v>
      </c>
      <c r="I51" s="24">
        <f t="shared" si="5"/>
        <v>0</v>
      </c>
      <c r="J51" s="24">
        <f>SUM($I$3:I51)</f>
        <v>0</v>
      </c>
      <c r="K51" s="24"/>
      <c r="L51" s="24" t="e">
        <f t="shared" si="0"/>
        <v>#VALUE!</v>
      </c>
      <c r="M51" s="24" t="e">
        <f>6.2807*(SUM(ABS($F$3:F51))^0.959)</f>
        <v>#VALUE!</v>
      </c>
      <c r="N51" s="14"/>
      <c r="O51" s="14"/>
      <c r="P51" s="14"/>
      <c r="Q51" s="14"/>
      <c r="R51" s="14"/>
      <c r="S51" s="14"/>
      <c r="T51" s="14"/>
      <c r="U51" s="14"/>
    </row>
    <row r="52" spans="1:21" ht="16.5" thickTop="1" thickBot="1" x14ac:dyDescent="0.3">
      <c r="A52" s="159"/>
      <c r="B52" s="93"/>
      <c r="C52" s="1"/>
      <c r="D52" s="96"/>
      <c r="E52" s="79"/>
      <c r="F52" s="80" t="str">
        <f>IF(OR(AND(D52&gt;0.0001,D52&lt;3),D52&gt;5000),"MIMO POVOLENÝ ROZSAH",IF(AND('Bateriová úložiště'!$D$53&lt;(FVE!$D$54+FVE!$F$54),J52&lt;0.1*(FVE!$D$54+FVE!$F$54)),-((ABS(J52-0.1*(FVE!$D$54+FVE!$F$54))/6.2807)^(1/0.959)),IF(AND('Bateriová úložiště'!$D$53&lt;(FVE!$D$54+FVE!$F$54),J52&gt;=0.1*(FVE!$D$54+FVE!$F$54),J52&lt;=0.6*(FVE!$D$54+FVE!$F$54),(J52+'Bateriová úložiště'!$D$53)&lt;(FVE!$D$54+FVE!$F$54),(J52-0.6*(FVE!$D$54+FVE!$F$54))&lt;(J52+'Bateriová úložiště'!$D$53-(FVE!$D$54+FVE!$F$54))),(((FVE!$D$54+FVE!$F$54)-(J52+'Bateriová úložiště'!$D$53))/6.2807)^(1/0.959),IF(AND('Bateriová úložiště'!$D$53&lt;(FVE!$D$54+FVE!$F$54),J52&gt;=0.1*(FVE!$D$54+FVE!$F$54),J52&lt;=0.6*(FVE!$D$54+FVE!$F$54),(J52+'Bateriová úložiště'!$D$53)&lt;(FVE!$D$54+FVE!$F$54),(J52-0.6*(FVE!$D$54+FVE!$F$54))&gt;=(J52+'Bateriová úložiště'!$D$53-(FVE!$D$54+FVE!$F$54))),((0.6*(FVE!$D$54+FVE!$F$54)-J52)/6.2807)^(1/0.959),IF(AND(OR((J52+'Bateriová úložiště'!$D$53)&gt;=(FVE!$D$54+FVE!$F$54),J52&gt;=0.6*(FVE!$D$54+FVE!$F$54)),(J51+'Bateriová úložiště'!$D$53)&lt;(FVE!$D$54+FVE!$F$54),J51&lt;0.6*(FVE!$D$54+FVE!$F$54)),"MAX. DOTACE BYLA DOSAŽENA (100% VÝKONU FVE) - DALŠÍ VÝDAJE JSOU NEZPŮSOBILÉ",IF(OR(J51&gt;=0.6*(FVE!$D$54+FVE!$F$54),(J51+'Bateriová úložiště'!$D$53))&gt;=(FVE!$D$54+FVE!$F$54),""))))))</f>
        <v/>
      </c>
      <c r="G52" s="162"/>
      <c r="H52" s="24">
        <f>IF(OR(D52&lt;3,D52&gt;5000,$I$53&lt;0.1*(FVE!$D$54+FVE!$F$54),'Bateriová úložiště'!$D$53&gt;=(FVE!$D$54+FVE!$F$54)),0,IF(AND(D52&lt;=200,J52&lt;=0.6*(FVE!$D$54+FVE!$F$54),(J52+'Bateriová úložiště'!$D$53)&lt;=(FVE!$D$54+FVE!$F$54)),(1754822.82*D52^0.69),IF(AND(D52&lt;=200,(J52-0.6*(FVE!$D$54+FVE!$F$54))&gt;(J52+'Bateriová úložiště'!$D$53-(FVE!$D$54+FVE!$F$54)),(0.6*(FVE!$D$54+FVE!$F$54)-J51)&gt;0),1754822.82*(((0.6*(FVE!$D$54+FVE!$F$54)-J51)/6.2807)^(1/0.959))^0.69,IF(AND(D52&lt;=200,(J52-0.6*(FVE!$D$54+FVE!$F$54))&lt;=(J52+'Bateriová úložiště'!$D$53-(FVE!$D$54+FVE!$F$54)),((FVE!$D$54+FVE!$F$54)-'Bateriová úložiště'!$D$53-J51)&gt;0),1754822.82*(((J52-(J52+'Bateriová úložiště'!$D$53-(FVE!$D$54+FVE!$F$54))-J51)/6.2807)^(1/0.959))^0.69,IF(AND(D52&gt;200,J52&lt;=0.6*(FVE!$D$54+FVE!$F$54),(J52+'Bateriová úložiště'!$D$53)&lt;=(FVE!$D$54+FVE!$F$54)),(1559103.03*D52^0.71),IF(AND(D52&gt;200,(J52-0.6*(FVE!$D$54+FVE!$F$54))&gt;(J52+'Bateriová úložiště'!$D$53-(FVE!$D$54+FVE!$F$54)),(0.6*(FVE!$D$54+FVE!$F$54)-J51)&gt;0),1559103.03*((((0.6*(FVE!$D$54+FVE!$F$54)-J51))/6.2807)^(1/0.959))^0.71,IF(AND(D52&gt;200,(J52-0.6*(FVE!$D$54+FVE!$F$54))&lt;=(J52+'Bateriová úložiště'!$D$53-(FVE!$D$54+FVE!$F$54)),((FVE!$D$54+FVE!$F$54)-'Bateriová úložiště'!$D$53-J51)&gt;0),1559103.03*(((J52-(J52+'Bateriová úložiště'!$D$53-(FVE!$D$54+FVE!$F$54))-J51)/6.2807)^(1/0.959))^0.71,0)))))))</f>
        <v>0</v>
      </c>
      <c r="I52" s="24">
        <f t="shared" si="5"/>
        <v>0</v>
      </c>
      <c r="J52" s="24">
        <f>SUM($I$3:I52)</f>
        <v>0</v>
      </c>
      <c r="K52" s="24"/>
      <c r="L52" s="24" t="e">
        <f t="shared" si="0"/>
        <v>#VALUE!</v>
      </c>
      <c r="M52" s="24" t="e">
        <f>6.2807*(SUM(ABS($F$3:F52))^0.959)</f>
        <v>#VALUE!</v>
      </c>
      <c r="N52" s="14"/>
      <c r="O52" s="14"/>
      <c r="P52" s="14"/>
      <c r="Q52" s="14"/>
      <c r="R52" s="14"/>
      <c r="S52" s="14"/>
      <c r="T52" s="14"/>
      <c r="U52" s="14"/>
    </row>
    <row r="53" spans="1:21" ht="24" customHeight="1" thickTop="1" thickBot="1" x14ac:dyDescent="0.3">
      <c r="A53" s="160"/>
      <c r="B53" s="101" t="s">
        <v>16</v>
      </c>
      <c r="C53" s="102"/>
      <c r="D53" s="103">
        <f t="shared" ref="D53" si="7">SUBTOTAL(109,D3:D52)</f>
        <v>0</v>
      </c>
      <c r="E53" s="104"/>
      <c r="F53" s="105">
        <f t="shared" ref="F53" si="8">SUM(D52:D53)</f>
        <v>0</v>
      </c>
      <c r="G53" s="163"/>
      <c r="H53" s="86">
        <f>SUM(H3:H52)</f>
        <v>0</v>
      </c>
      <c r="I53" s="25">
        <f>SUM(I3:I52)</f>
        <v>0</v>
      </c>
      <c r="J53" s="14"/>
      <c r="K53" s="14"/>
      <c r="L53" s="24"/>
      <c r="M53" s="24">
        <f>6.2807*(SUM(ABS($F$3:F53))^0.959)</f>
        <v>0</v>
      </c>
      <c r="N53" s="14"/>
      <c r="O53" s="14"/>
      <c r="P53" s="14"/>
      <c r="Q53" s="14"/>
      <c r="R53" s="14"/>
      <c r="S53" s="14"/>
      <c r="T53" s="14"/>
      <c r="U53" s="14"/>
    </row>
    <row r="54" spans="1:21" ht="15.75" hidden="1" thickTop="1" x14ac:dyDescent="0.25">
      <c r="H54" s="14"/>
      <c r="I54" s="14"/>
      <c r="J54" s="14"/>
      <c r="K54" s="14"/>
      <c r="L54" s="24"/>
      <c r="M54" s="24"/>
      <c r="N54" s="14"/>
      <c r="O54" s="14"/>
      <c r="P54" s="14"/>
      <c r="Q54" s="14"/>
      <c r="R54" s="14"/>
      <c r="S54" s="14"/>
      <c r="T54" s="14"/>
      <c r="U54" s="14"/>
    </row>
    <row r="55" spans="1:21" hidden="1" x14ac:dyDescent="0.25">
      <c r="H55" s="24"/>
      <c r="I55" s="14"/>
      <c r="J55" s="14"/>
      <c r="K55" s="14"/>
      <c r="L55" s="24"/>
      <c r="M55" s="24"/>
      <c r="N55" s="14"/>
      <c r="O55" s="14"/>
      <c r="P55" s="14"/>
      <c r="Q55" s="14"/>
      <c r="R55" s="14"/>
      <c r="S55" s="14"/>
      <c r="T55" s="14"/>
      <c r="U55" s="14"/>
    </row>
    <row r="56" spans="1:21" hidden="1" x14ac:dyDescent="0.25">
      <c r="H56" s="86"/>
      <c r="I56" s="56"/>
      <c r="J56" s="56"/>
      <c r="K56" s="56"/>
      <c r="L56" s="24"/>
      <c r="M56" s="24"/>
      <c r="N56" s="14"/>
      <c r="O56" s="14"/>
      <c r="P56" s="14"/>
      <c r="Q56" s="14"/>
      <c r="R56" s="14"/>
      <c r="S56" s="14"/>
      <c r="T56" s="14"/>
      <c r="U56" s="14"/>
    </row>
  </sheetData>
  <sheetProtection algorithmName="SHA-512" hashValue="blbHT2Fr7eT8LCx5nJZED+JuNNNMjDbpqoJ1+zs4e0p2BzKpukirAluCTX553uPPuJCs8act0vTTW9//8xEOTQ==" saltValue="WTGu23rA9jIaVToPfFfclw==" spinCount="100000" sheet="1" objects="1" scenarios="1"/>
  <mergeCells count="3">
    <mergeCell ref="A1:G1"/>
    <mergeCell ref="A2:A53"/>
    <mergeCell ref="G2:G53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XFD31"/>
  <sheetViews>
    <sheetView showGridLines="0" zoomScaleNormal="100" workbookViewId="0">
      <selection activeCell="B3" sqref="B3:F3"/>
    </sheetView>
  </sheetViews>
  <sheetFormatPr defaultColWidth="0" defaultRowHeight="15" zeroHeight="1" x14ac:dyDescent="0.25"/>
  <cols>
    <col min="1" max="1" width="42.7109375" style="152" customWidth="1"/>
    <col min="2" max="2" width="20.7109375" style="15" customWidth="1"/>
    <col min="3" max="3" width="8.5703125" style="15" customWidth="1"/>
    <col min="4" max="4" width="20.7109375" style="15" customWidth="1"/>
    <col min="5" max="5" width="3.7109375" style="15" customWidth="1"/>
    <col min="6" max="6" width="31.42578125" style="15" customWidth="1"/>
    <col min="7" max="7" width="0.85546875" style="15" customWidth="1"/>
    <col min="8" max="8" width="19.42578125" style="14" hidden="1"/>
    <col min="9" max="9" width="16.140625" style="14" hidden="1"/>
    <col min="10" max="10" width="13.28515625" style="14" hidden="1"/>
    <col min="11" max="12" width="13.5703125" style="14" hidden="1"/>
    <col min="13" max="13" width="23.42578125" style="14" hidden="1"/>
    <col min="14" max="14" width="16.28515625" style="14" hidden="1"/>
    <col min="15" max="15" width="9.140625" style="14" hidden="1"/>
    <col min="16" max="16383" width="9.140625" style="15" hidden="1"/>
    <col min="16384" max="16384" width="1" style="15" hidden="1"/>
  </cols>
  <sheetData>
    <row r="1" spans="1:15" ht="21" customHeight="1" x14ac:dyDescent="0.25">
      <c r="A1" s="176" t="s">
        <v>52</v>
      </c>
      <c r="B1" s="176"/>
      <c r="C1" s="176"/>
      <c r="D1" s="176"/>
      <c r="E1" s="176"/>
      <c r="F1" s="176"/>
      <c r="G1" s="176"/>
      <c r="H1" s="106"/>
    </row>
    <row r="2" spans="1:15" ht="18" customHeight="1" thickBot="1" x14ac:dyDescent="0.3">
      <c r="A2" s="107"/>
      <c r="B2" s="107"/>
      <c r="C2" s="107"/>
      <c r="D2" s="107"/>
      <c r="E2" s="107"/>
      <c r="F2" s="107"/>
      <c r="G2" s="97"/>
      <c r="H2" s="106"/>
    </row>
    <row r="3" spans="1:15" ht="21" customHeight="1" thickTop="1" thickBot="1" x14ac:dyDescent="0.3">
      <c r="A3" s="108" t="s">
        <v>55</v>
      </c>
      <c r="B3" s="171"/>
      <c r="C3" s="172"/>
      <c r="D3" s="172"/>
      <c r="E3" s="172"/>
      <c r="F3" s="173"/>
    </row>
    <row r="4" spans="1:15" ht="15.75" thickTop="1" x14ac:dyDescent="0.25">
      <c r="A4" s="109"/>
      <c r="B4" s="60"/>
      <c r="C4" s="60"/>
      <c r="D4" s="60"/>
      <c r="E4" s="60"/>
      <c r="F4" s="60"/>
    </row>
    <row r="5" spans="1:15" x14ac:dyDescent="0.25">
      <c r="A5" s="110"/>
      <c r="B5" s="111"/>
      <c r="C5" s="111"/>
      <c r="D5" s="111"/>
      <c r="E5" s="111"/>
      <c r="F5" s="111"/>
    </row>
    <row r="6" spans="1:15" x14ac:dyDescent="0.25">
      <c r="A6" s="112" t="s">
        <v>14</v>
      </c>
      <c r="B6" s="111"/>
      <c r="C6" s="111"/>
      <c r="D6" s="111"/>
      <c r="E6" s="111"/>
      <c r="F6" s="111"/>
      <c r="H6" s="113" t="s">
        <v>29</v>
      </c>
      <c r="I6" s="113" t="s">
        <v>30</v>
      </c>
      <c r="J6" s="113"/>
      <c r="M6" s="14" t="s">
        <v>1</v>
      </c>
      <c r="N6" s="175" t="s">
        <v>2</v>
      </c>
      <c r="O6" s="175">
        <v>1</v>
      </c>
    </row>
    <row r="7" spans="1:15" x14ac:dyDescent="0.25">
      <c r="A7" s="110"/>
      <c r="B7" s="111"/>
      <c r="C7" s="111"/>
      <c r="D7" s="111"/>
      <c r="E7" s="111"/>
      <c r="F7" s="114"/>
      <c r="H7" s="115">
        <f>(N14/100)*FVE!L54</f>
        <v>0</v>
      </c>
      <c r="I7" s="115">
        <f>IF(D22&lt;(B11+B12)*2022.7,0,IF((B11+B12)&lt;=10000,N14/100*(D22-(B11+B12)*1249.1),N14/100*(D22-(B11+B12)*2022.7)))</f>
        <v>0</v>
      </c>
      <c r="J7" s="115"/>
      <c r="N7" s="175" t="s">
        <v>3</v>
      </c>
      <c r="O7" s="175"/>
    </row>
    <row r="8" spans="1:15" x14ac:dyDescent="0.25">
      <c r="A8" s="112" t="s">
        <v>15</v>
      </c>
      <c r="B8" s="111"/>
      <c r="C8" s="111"/>
      <c r="D8" s="111"/>
      <c r="E8" s="111"/>
      <c r="F8" s="111"/>
      <c r="H8" s="115">
        <f>(N14/100)*'Bateriová úložiště'!H53</f>
        <v>0</v>
      </c>
      <c r="I8" s="115">
        <f>N14/100*D24</f>
        <v>0</v>
      </c>
      <c r="J8" s="115"/>
      <c r="N8" s="175" t="s">
        <v>4</v>
      </c>
      <c r="O8" s="175"/>
    </row>
    <row r="9" spans="1:15" x14ac:dyDescent="0.25">
      <c r="A9" s="110"/>
      <c r="B9" s="111"/>
      <c r="C9" s="111"/>
      <c r="D9" s="111"/>
      <c r="E9" s="111"/>
      <c r="F9" s="114"/>
      <c r="H9" s="115">
        <f>(N14/100)*Elektrolyzéry!H53</f>
        <v>0</v>
      </c>
      <c r="I9" s="115">
        <f>N14/100*D26</f>
        <v>0</v>
      </c>
      <c r="J9" s="115">
        <f>2*H7</f>
        <v>0</v>
      </c>
      <c r="N9" s="175"/>
      <c r="O9" s="175"/>
    </row>
    <row r="10" spans="1:15" x14ac:dyDescent="0.25">
      <c r="A10" s="116"/>
      <c r="B10" s="117"/>
      <c r="C10" s="117"/>
      <c r="D10" s="111"/>
      <c r="E10" s="111"/>
      <c r="F10" s="111"/>
      <c r="H10" s="115">
        <f>0.2*H7</f>
        <v>0</v>
      </c>
      <c r="I10" s="115">
        <f>(N14/100)*D28</f>
        <v>0</v>
      </c>
      <c r="J10" s="115"/>
      <c r="M10" s="14" t="s">
        <v>5</v>
      </c>
      <c r="N10" s="175" t="s">
        <v>6</v>
      </c>
      <c r="O10" s="175">
        <v>1</v>
      </c>
    </row>
    <row r="11" spans="1:15" ht="15.95" customHeight="1" x14ac:dyDescent="0.25">
      <c r="A11" s="118" t="s">
        <v>9</v>
      </c>
      <c r="B11" s="119">
        <f>FVE!D54</f>
        <v>0</v>
      </c>
      <c r="C11" s="120" t="s">
        <v>12</v>
      </c>
      <c r="D11" s="121"/>
      <c r="E11" s="121"/>
      <c r="F11" s="111"/>
      <c r="H11" s="122">
        <f>SUM(H7:H10)</f>
        <v>0</v>
      </c>
      <c r="I11" s="122">
        <f>SUM(I7:I10)</f>
        <v>0</v>
      </c>
      <c r="J11" s="122"/>
      <c r="N11" s="175" t="s">
        <v>7</v>
      </c>
      <c r="O11" s="175"/>
    </row>
    <row r="12" spans="1:15" ht="15.95" customHeight="1" x14ac:dyDescent="0.25">
      <c r="A12" s="118" t="s">
        <v>10</v>
      </c>
      <c r="B12" s="123">
        <f>FVE!F54</f>
        <v>0</v>
      </c>
      <c r="C12" s="124" t="s">
        <v>12</v>
      </c>
      <c r="D12" s="121"/>
      <c r="E12" s="121"/>
      <c r="F12" s="111"/>
      <c r="H12" s="14" t="s">
        <v>36</v>
      </c>
      <c r="K12" s="115"/>
      <c r="N12" s="175" t="s">
        <v>8</v>
      </c>
      <c r="O12" s="175"/>
    </row>
    <row r="13" spans="1:15" ht="15.95" customHeight="1" x14ac:dyDescent="0.25">
      <c r="A13" s="118" t="s">
        <v>18</v>
      </c>
      <c r="B13" s="123">
        <f>'Bateriová úložiště'!D53</f>
        <v>0</v>
      </c>
      <c r="C13" s="124" t="s">
        <v>11</v>
      </c>
      <c r="D13" s="121"/>
      <c r="E13" s="121"/>
      <c r="F13" s="111"/>
      <c r="H13" s="115">
        <f>MIN(H7:I7)</f>
        <v>0</v>
      </c>
      <c r="I13" s="125">
        <f>I7-H13</f>
        <v>0</v>
      </c>
      <c r="J13" s="115">
        <f>IF(I13=0,H7-H13,0)</f>
        <v>0</v>
      </c>
      <c r="K13" s="115"/>
      <c r="N13" s="175"/>
      <c r="O13" s="175"/>
    </row>
    <row r="14" spans="1:15" ht="15.95" customHeight="1" x14ac:dyDescent="0.25">
      <c r="A14" s="118" t="s">
        <v>19</v>
      </c>
      <c r="B14" s="123">
        <f>Elektrolyzéry!D53</f>
        <v>0</v>
      </c>
      <c r="C14" s="124" t="s">
        <v>50</v>
      </c>
      <c r="D14" s="121"/>
      <c r="E14" s="121"/>
      <c r="F14" s="111"/>
      <c r="H14" s="115">
        <f>MIN(H8:I8)</f>
        <v>0</v>
      </c>
      <c r="I14" s="125">
        <f>I8-H14</f>
        <v>0</v>
      </c>
      <c r="J14" s="115">
        <f>IF(I14=0,H8-H14,0)</f>
        <v>0</v>
      </c>
      <c r="M14" s="14" t="s">
        <v>13</v>
      </c>
      <c r="N14" s="126" t="str">
        <f>IF((O6=1)*AND(O10=1),"65",IF((O6=2)*AND(O10=1),"55",IF((O6=3)*AND(O10=1),"45",IF((O6=1)*AND(O10=2),"80",IF((O6=2)*AND(O10=2),"70",IF((O6=3)*AND(O10=2),"60",IF((O6=1)*AND(O10=3),"70",IF((O6=2)*AND(O10=3),"60",IF((O6=3)*AND(O10=3),"50")))))))))</f>
        <v>65</v>
      </c>
    </row>
    <row r="15" spans="1:15" ht="15.95" customHeight="1" x14ac:dyDescent="0.25">
      <c r="A15" s="127" t="s">
        <v>17</v>
      </c>
      <c r="B15" s="128">
        <f>IF(OR(AND(B14&gt;0.00001,B14&lt;3),B14&gt;5000),"MIM POVOLENÝ ROZSAH",IF(B14=0,0,6.2807*B14^0.959))</f>
        <v>0</v>
      </c>
      <c r="C15" s="129" t="s">
        <v>12</v>
      </c>
      <c r="D15" s="121"/>
      <c r="E15" s="121"/>
      <c r="F15" s="111"/>
      <c r="H15" s="115">
        <f>MIN(H9:J9)</f>
        <v>0</v>
      </c>
      <c r="I15" s="125">
        <f>I9-H15</f>
        <v>0</v>
      </c>
      <c r="J15" s="115">
        <f>IF(I15=0,MIN(H9,J9)-H15,0)</f>
        <v>0</v>
      </c>
      <c r="K15" s="115"/>
      <c r="M15" s="14" t="s">
        <v>0</v>
      </c>
      <c r="N15" s="130">
        <f>IF(D22&lt;(B11+B12)*1249.1,0,N14/100*(D22-(B11+B12)*1249.1))</f>
        <v>0</v>
      </c>
    </row>
    <row r="16" spans="1:15" x14ac:dyDescent="0.25">
      <c r="A16" s="131"/>
      <c r="B16" s="117"/>
      <c r="C16" s="117"/>
      <c r="D16" s="111"/>
      <c r="E16" s="111"/>
      <c r="F16" s="111"/>
      <c r="H16" s="115">
        <f>MIN(H10:I10)</f>
        <v>0</v>
      </c>
      <c r="I16" s="125">
        <f>I10-H16</f>
        <v>0</v>
      </c>
      <c r="J16" s="115">
        <f>IF(I16=0,H10-H16,0)</f>
        <v>0</v>
      </c>
    </row>
    <row r="17" spans="1:14" ht="9" customHeight="1" x14ac:dyDescent="0.25">
      <c r="A17" s="51"/>
      <c r="B17" s="111"/>
      <c r="C17" s="111"/>
      <c r="D17" s="111"/>
      <c r="E17" s="111"/>
      <c r="F17" s="111"/>
      <c r="H17" s="115"/>
      <c r="I17" s="125"/>
      <c r="J17" s="115"/>
    </row>
    <row r="18" spans="1:14" ht="18" customHeight="1" x14ac:dyDescent="0.25">
      <c r="A18" s="167" t="s">
        <v>51</v>
      </c>
      <c r="B18" s="168"/>
      <c r="C18" s="168"/>
      <c r="D18" s="168"/>
      <c r="E18" s="168"/>
      <c r="F18" s="168"/>
      <c r="H18" s="122">
        <f>SUM(H13:H16)</f>
        <v>0</v>
      </c>
      <c r="I18" s="122">
        <f>SUM(I13:I16)</f>
        <v>0</v>
      </c>
      <c r="J18" s="122">
        <f>SUM(J13:J16)</f>
        <v>0</v>
      </c>
      <c r="K18" s="122">
        <f>IF(J18&lt;=I18,J18,0)</f>
        <v>0</v>
      </c>
      <c r="N18" s="130"/>
    </row>
    <row r="19" spans="1:14" ht="18" customHeight="1" x14ac:dyDescent="0.25">
      <c r="A19" s="132"/>
      <c r="B19" s="133"/>
      <c r="C19" s="133"/>
      <c r="D19" s="133"/>
      <c r="E19" s="133"/>
      <c r="F19" s="133"/>
      <c r="H19" s="122"/>
      <c r="I19" s="122"/>
      <c r="J19" s="122"/>
      <c r="K19" s="122"/>
      <c r="N19" s="130"/>
    </row>
    <row r="20" spans="1:14" ht="45" customHeight="1" x14ac:dyDescent="0.25">
      <c r="A20" s="134"/>
      <c r="B20" s="135" t="s">
        <v>56</v>
      </c>
      <c r="C20" s="135"/>
      <c r="D20" s="135" t="s">
        <v>57</v>
      </c>
      <c r="E20" s="135"/>
      <c r="F20" s="136" t="s">
        <v>54</v>
      </c>
      <c r="H20" s="137"/>
    </row>
    <row r="21" spans="1:14" ht="6" customHeight="1" thickBot="1" x14ac:dyDescent="0.3">
      <c r="A21" s="138"/>
      <c r="B21" s="139"/>
      <c r="C21" s="139"/>
      <c r="D21" s="139"/>
      <c r="E21" s="139"/>
      <c r="F21" s="140"/>
      <c r="H21" s="137"/>
    </row>
    <row r="22" spans="1:14" ht="18" customHeight="1" thickTop="1" thickBot="1" x14ac:dyDescent="0.3">
      <c r="A22" s="141" t="s">
        <v>22</v>
      </c>
      <c r="B22" s="153">
        <v>0</v>
      </c>
      <c r="C22" s="142"/>
      <c r="D22" s="153">
        <v>0</v>
      </c>
      <c r="E22" s="143"/>
      <c r="F22" s="144">
        <f>IF(D22&gt;B22,"náklady nesmí převýšit celkové",MIN(H7:I7))</f>
        <v>0</v>
      </c>
      <c r="H22" s="115"/>
      <c r="I22" s="115"/>
      <c r="J22" s="115"/>
    </row>
    <row r="23" spans="1:14" ht="15" customHeight="1" thickTop="1" thickBot="1" x14ac:dyDescent="0.3">
      <c r="A23" s="145"/>
      <c r="B23" s="114"/>
      <c r="C23" s="114"/>
      <c r="D23" s="114"/>
      <c r="E23" s="114"/>
      <c r="F23" s="146"/>
      <c r="H23" s="115"/>
      <c r="I23" s="115"/>
      <c r="J23" s="115"/>
    </row>
    <row r="24" spans="1:14" ht="18" customHeight="1" thickTop="1" thickBot="1" x14ac:dyDescent="0.3">
      <c r="A24" s="141" t="s">
        <v>24</v>
      </c>
      <c r="B24" s="153">
        <v>0</v>
      </c>
      <c r="C24" s="142"/>
      <c r="D24" s="153">
        <v>0</v>
      </c>
      <c r="E24" s="143"/>
      <c r="F24" s="144">
        <f>IF(D24&gt;B24,"náklady nesmí převýšit celkové",MIN(H8:I8))</f>
        <v>0</v>
      </c>
      <c r="H24" s="115"/>
      <c r="I24" s="115"/>
      <c r="J24" s="115"/>
    </row>
    <row r="25" spans="1:14" ht="15" customHeight="1" thickTop="1" thickBot="1" x14ac:dyDescent="0.3">
      <c r="A25" s="145"/>
      <c r="B25" s="114"/>
      <c r="C25" s="114"/>
      <c r="D25" s="114"/>
      <c r="E25" s="114"/>
      <c r="F25" s="146"/>
      <c r="H25" s="115"/>
      <c r="I25" s="115"/>
      <c r="J25" s="115"/>
    </row>
    <row r="26" spans="1:14" ht="18" customHeight="1" thickTop="1" thickBot="1" x14ac:dyDescent="0.3">
      <c r="A26" s="141" t="s">
        <v>25</v>
      </c>
      <c r="B26" s="153">
        <v>0</v>
      </c>
      <c r="C26" s="147"/>
      <c r="D26" s="153">
        <v>0</v>
      </c>
      <c r="E26" s="143"/>
      <c r="F26" s="144">
        <f>IF(D26&gt;B26,"náklady nesmí převýšit celkové",MIN(H9:J9))</f>
        <v>0</v>
      </c>
      <c r="H26" s="122"/>
      <c r="I26" s="122"/>
      <c r="J26" s="122"/>
      <c r="K26" s="122"/>
    </row>
    <row r="27" spans="1:14" ht="15" customHeight="1" thickTop="1" thickBot="1" x14ac:dyDescent="0.3">
      <c r="A27" s="145"/>
      <c r="B27" s="114"/>
      <c r="C27" s="114"/>
      <c r="D27" s="114"/>
      <c r="E27" s="114"/>
      <c r="F27" s="146"/>
    </row>
    <row r="28" spans="1:14" ht="18" customHeight="1" thickTop="1" thickBot="1" x14ac:dyDescent="0.3">
      <c r="A28" s="141" t="s">
        <v>31</v>
      </c>
      <c r="B28" s="153">
        <v>0</v>
      </c>
      <c r="C28" s="147"/>
      <c r="D28" s="153">
        <v>0</v>
      </c>
      <c r="E28" s="143"/>
      <c r="F28" s="144">
        <f>IF(D28&gt;B28,"náklady nesmí převýšit celkové",MIN(H10:I10))</f>
        <v>0</v>
      </c>
    </row>
    <row r="29" spans="1:14" ht="15.75" thickTop="1" x14ac:dyDescent="0.25">
      <c r="A29" s="148"/>
      <c r="B29" s="114"/>
      <c r="C29" s="114"/>
      <c r="D29" s="111"/>
      <c r="E29" s="111"/>
      <c r="F29" s="149"/>
    </row>
    <row r="30" spans="1:14" ht="27" customHeight="1" x14ac:dyDescent="0.25">
      <c r="A30" s="169" t="s">
        <v>53</v>
      </c>
      <c r="B30" s="170"/>
      <c r="C30" s="170"/>
      <c r="D30" s="170"/>
      <c r="E30" s="150"/>
      <c r="F30" s="151">
        <f>SUM(F22:F28)+K18+K26</f>
        <v>0</v>
      </c>
    </row>
    <row r="31" spans="1:14" ht="18" customHeight="1" x14ac:dyDescent="0.25">
      <c r="A31" s="174" t="s">
        <v>58</v>
      </c>
      <c r="B31" s="174"/>
      <c r="C31" s="174"/>
      <c r="D31" s="174"/>
      <c r="E31" s="174"/>
      <c r="F31" s="174"/>
    </row>
  </sheetData>
  <sheetProtection algorithmName="SHA-512" hashValue="jj/Ch/24K4LKTdhZIdfy0mK7w4RvUBTdFsVkHfcbZLJT66uF0wOJ8TyiC0WJOQ0/EYPajUrxyui7DOrmZTDmkQ==" saltValue="7XJrdGGbGWM65tMvcIZM4g==" spinCount="100000" sheet="1" objects="1" scenarios="1"/>
  <mergeCells count="5">
    <mergeCell ref="A18:F18"/>
    <mergeCell ref="A30:D30"/>
    <mergeCell ref="B3:F3"/>
    <mergeCell ref="A31:F31"/>
    <mergeCell ref="A1:G1"/>
  </mergeCells>
  <pageMargins left="0.7" right="0.7" top="0.78740157499999996" bottom="0.78740157499999996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Drop Down 5">
              <controlPr defaultSize="0" autoLine="0" autoPict="0">
                <anchor moveWithCells="1">
                  <from>
                    <xdr:col>1</xdr:col>
                    <xdr:colOff>57150</xdr:colOff>
                    <xdr:row>5</xdr:row>
                    <xdr:rowOff>0</xdr:rowOff>
                  </from>
                  <to>
                    <xdr:col>1</xdr:col>
                    <xdr:colOff>1219200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Drop Down 6">
              <controlPr defaultSize="0" autoLine="0" autoPict="0">
                <anchor moveWithCells="1">
                  <from>
                    <xdr:col>1</xdr:col>
                    <xdr:colOff>66675</xdr:colOff>
                    <xdr:row>7</xdr:row>
                    <xdr:rowOff>0</xdr:rowOff>
                  </from>
                  <to>
                    <xdr:col>1</xdr:col>
                    <xdr:colOff>1228725</xdr:colOff>
                    <xdr:row>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Pokyny k vyplnění</vt:lpstr>
      <vt:lpstr>FVE</vt:lpstr>
      <vt:lpstr>Bateriová úložiště</vt:lpstr>
      <vt:lpstr>Elektrolyzéry</vt:lpstr>
      <vt:lpstr>Souhrn</vt:lpstr>
    </vt:vector>
  </TitlesOfParts>
  <Company>SFZP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Smetanová Klára</dc:creator>
  <cp:lastModifiedBy>Marcin Ivo</cp:lastModifiedBy>
  <cp:lastPrinted>2022-07-21T10:14:24Z</cp:lastPrinted>
  <dcterms:created xsi:type="dcterms:W3CDTF">2022-07-07T07:08:32Z</dcterms:created>
  <dcterms:modified xsi:type="dcterms:W3CDTF">2022-07-21T15:55:56Z</dcterms:modified>
</cp:coreProperties>
</file>