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muzik\Documents\_MODERNIZACNI_FOND\_VÝZVY\RES\NAD1MW\2024_výzva_č.2\"/>
    </mc:Choice>
  </mc:AlternateContent>
  <bookViews>
    <workbookView xWindow="-120" yWindow="-120" windowWidth="15480" windowHeight="6840"/>
  </bookViews>
  <sheets>
    <sheet name="JednDotMax nad 1 MW" sheetId="4" r:id="rId1"/>
    <sheet name="Graf do 1 MW" sheetId="5" state="hidden" r:id="rId2"/>
    <sheet name="Graf nad 1 MW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4" l="1"/>
  <c r="F26" i="4" s="1"/>
  <c r="G35" i="4" l="1"/>
  <c r="G64" i="4"/>
  <c r="G33" i="4" l="1"/>
  <c r="F31" i="4" l="1"/>
  <c r="C6" i="4"/>
  <c r="D17" i="4"/>
  <c r="D15" i="4"/>
  <c r="G15" i="4" s="1"/>
  <c r="G17" i="4" l="1"/>
  <c r="C4" i="4" l="1"/>
  <c r="H4" i="4" l="1"/>
  <c r="B8" i="4"/>
  <c r="D4" i="4"/>
  <c r="C8" i="4" l="1"/>
  <c r="D10" i="4"/>
  <c r="E4" i="4" l="1"/>
  <c r="D8" i="4"/>
  <c r="F17" i="4" s="1"/>
  <c r="D9" i="4"/>
  <c r="F15" i="4" l="1"/>
  <c r="B19" i="4" s="1"/>
  <c r="G34" i="4" s="1"/>
  <c r="D6" i="4"/>
  <c r="E6" i="4" s="1"/>
  <c r="H6" i="4"/>
  <c r="B13" i="4" s="1"/>
  <c r="B21" i="4" l="1"/>
  <c r="D21" i="4"/>
  <c r="F34" i="4" s="1"/>
  <c r="B31" i="4" s="1"/>
  <c r="F6" i="4"/>
  <c r="E8" i="4"/>
  <c r="C17" i="4"/>
  <c r="B34" i="4" l="1"/>
  <c r="H27" i="4"/>
  <c r="F4" i="4" l="1"/>
  <c r="F8" i="4" s="1"/>
  <c r="D7" i="4"/>
  <c r="H7" i="4" l="1"/>
  <c r="H8" i="4" s="1"/>
  <c r="B5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</calcChain>
</file>

<file path=xl/sharedStrings.xml><?xml version="1.0" encoding="utf-8"?>
<sst xmlns="http://schemas.openxmlformats.org/spreadsheetml/2006/main" count="47" uniqueCount="42">
  <si>
    <t>výkon kW</t>
  </si>
  <si>
    <t>Jednotková dotace (Kč/kW)</t>
  </si>
  <si>
    <t>pozemní</t>
  </si>
  <si>
    <t>střešní</t>
  </si>
  <si>
    <t>podpora</t>
  </si>
  <si>
    <r>
      <t xml:space="preserve">Kapacita akumulace - </t>
    </r>
    <r>
      <rPr>
        <i/>
        <sz val="11"/>
        <color theme="1"/>
        <rFont val="Calibri"/>
        <family val="2"/>
        <charset val="238"/>
        <scheme val="minor"/>
      </rPr>
      <t>doplňte kapacitu v kWh</t>
    </r>
  </si>
  <si>
    <t>holý vzorec, který nehlídá omezení kapacity, výkon nad 1000 kW, ani logaritmus 0</t>
  </si>
  <si>
    <t>max dotace z parametrů zadaných žadatelem (hlídá poměr C ku P a Pmin, ale nehlídá GBER a 50% celkových výdajů)</t>
  </si>
  <si>
    <t>Max. dotace (Kč)</t>
  </si>
  <si>
    <t>Velký podnik</t>
  </si>
  <si>
    <t>Maximální výše dotace na FVE a bateriové úložiště při maximální jednotkové dotaci (Kč)</t>
  </si>
  <si>
    <r>
      <t xml:space="preserve">Hodinová výroba elektrolyzéru - </t>
    </r>
    <r>
      <rPr>
        <i/>
        <sz val="11"/>
        <color theme="1"/>
        <rFont val="Calibri"/>
        <family val="2"/>
        <charset val="238"/>
        <scheme val="minor"/>
      </rPr>
      <t>doplňte výkonnost elektrolyzéru v m</t>
    </r>
    <r>
      <rPr>
        <i/>
        <vertAlign val="superscript"/>
        <sz val="11"/>
        <color theme="1"/>
        <rFont val="Calibri"/>
        <family val="2"/>
        <charset val="238"/>
        <scheme val="minor"/>
      </rPr>
      <t>3</t>
    </r>
    <r>
      <rPr>
        <i/>
        <sz val="11"/>
        <color theme="1"/>
        <rFont val="Calibri"/>
        <family val="2"/>
        <charset val="238"/>
        <scheme val="minor"/>
      </rPr>
      <t xml:space="preserve">/hod </t>
    </r>
  </si>
  <si>
    <r>
      <t>Vypočítaný přibližný příkon</t>
    </r>
    <r>
      <rPr>
        <i/>
        <sz val="11"/>
        <color theme="1"/>
        <rFont val="Calibri"/>
        <family val="2"/>
        <charset val="238"/>
        <scheme val="minor"/>
      </rPr>
      <t xml:space="preserve"> elektrolyzéru v kW </t>
    </r>
  </si>
  <si>
    <t>max. dotace elektrolyzér dle vzorec Hytep</t>
  </si>
  <si>
    <t>max. dotace elektrolyzér dle GBER</t>
  </si>
  <si>
    <t>max. dotace elektrolyzér dle max. dvojnásobek FVE</t>
  </si>
  <si>
    <t>Celková maximální dotace na projekt (Kč)</t>
  </si>
  <si>
    <t>max. dotace elektrolyzér dle max. 50% z celkových realizačních výdajů</t>
  </si>
  <si>
    <t>odhad způsobilých nákladů na elektrolyzér (Kč)</t>
  </si>
  <si>
    <t>odhad způsobilých nákladů na FVE a bateriové úložiště (Kč)</t>
  </si>
  <si>
    <t>Upravte hodnotu celkových investičních nákladů na elektrolyzér v Kč dle vašeho rozpočtu</t>
  </si>
  <si>
    <t>z toho způsobilých investičních nákladů dle vašeho rozpočtu v Kč</t>
  </si>
  <si>
    <t>- - -  vyberte  - - -</t>
  </si>
  <si>
    <t>Stanovení maximální dotace pro FVE nad 1 MWp</t>
  </si>
  <si>
    <t xml:space="preserve">A)  stanovení maximální jednotkové dotace pro FVE a bateriové úložiště dle bodu 4.1 výzvy vstupující do kritéria A multikriteriálního hodnocení projektů dle bodu 4.2.1 výzvy </t>
  </si>
  <si>
    <t xml:space="preserve">B)  stanovení maximální dotace pro elektrolyzér dle bodu 4.1 výzvy </t>
  </si>
  <si>
    <t>Max. výše dotace odpovídající zvolené jednotkové dotaci (Kč)</t>
  </si>
  <si>
    <t>z toho způsobilých nákladů na elektrolyzér v Kč dle vašeho rozpočtu</t>
  </si>
  <si>
    <t>Uveďte požadovanou výši jednotkové dotace (Kč/kWp)</t>
  </si>
  <si>
    <t>Maximální jednotková dotace dle technických parametrů FVE (Kč/kWp)</t>
  </si>
  <si>
    <t>Uveďte hodnotu investičních nákladů na FVE a bateriové úložiště v Kč dle vašeho rozpočtu</t>
  </si>
  <si>
    <t>50% z CV</t>
  </si>
  <si>
    <t>30% z CZV</t>
  </si>
  <si>
    <t>Maximální jednotková dotace zohledňující investiční náklady projektu (Kč/kWp)</t>
  </si>
  <si>
    <t>Jedn. dotace max. (Kč)</t>
  </si>
  <si>
    <t>jednotkové náklady Kč/kW</t>
  </si>
  <si>
    <t>dotace Kč</t>
  </si>
  <si>
    <t>CZV Kč</t>
  </si>
  <si>
    <t>2*FVE</t>
  </si>
  <si>
    <t>0,3*EL</t>
  </si>
  <si>
    <t>Maximální výše dotace na elektrolyzér  (Kč)</t>
  </si>
  <si>
    <r>
      <t xml:space="preserve">FVE - </t>
    </r>
    <r>
      <rPr>
        <i/>
        <sz val="11"/>
        <rFont val="Calibri"/>
        <family val="2"/>
        <charset val="238"/>
        <scheme val="minor"/>
      </rPr>
      <t xml:space="preserve">doplňte výkon v kW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</si>
</sst>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ck">
        <color rgb="FF0070C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3" fontId="0" fillId="0" borderId="0" xfId="0" applyNumberFormat="1" applyBorder="1"/>
    <xf numFmtId="0" fontId="0" fillId="0" borderId="0" xfId="0" applyBorder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Protection="1">
      <protection hidden="1"/>
    </xf>
    <xf numFmtId="4" fontId="5" fillId="2" borderId="0" xfId="0" applyNumberFormat="1" applyFont="1" applyFill="1" applyProtection="1">
      <protection hidden="1"/>
    </xf>
    <xf numFmtId="0" fontId="0" fillId="2" borderId="0" xfId="0" applyFont="1" applyFill="1" applyAlignment="1" applyProtection="1">
      <alignment horizontal="right" vertical="center" indent="2"/>
      <protection hidden="1"/>
    </xf>
    <xf numFmtId="0" fontId="4" fillId="2" borderId="0" xfId="0" applyFont="1" applyFill="1" applyAlignment="1" applyProtection="1">
      <alignment horizontal="right" vertical="center" indent="2"/>
      <protection hidden="1"/>
    </xf>
    <xf numFmtId="0" fontId="0" fillId="0" borderId="0" xfId="0" applyProtection="1">
      <protection hidden="1"/>
    </xf>
    <xf numFmtId="0" fontId="1" fillId="2" borderId="0" xfId="0" applyFont="1" applyFill="1" applyProtection="1">
      <protection hidden="1"/>
    </xf>
    <xf numFmtId="3" fontId="0" fillId="2" borderId="0" xfId="0" applyNumberFormat="1" applyFill="1" applyAlignment="1" applyProtection="1">
      <alignment horizontal="right" vertical="center" indent="1"/>
      <protection hidden="1"/>
    </xf>
    <xf numFmtId="3" fontId="4" fillId="3" borderId="0" xfId="0" applyNumberFormat="1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Alignment="1" applyProtection="1">
      <alignment horizontal="right" vertical="center" indent="2"/>
      <protection hidden="1"/>
    </xf>
    <xf numFmtId="3" fontId="7" fillId="2" borderId="0" xfId="0" applyNumberFormat="1" applyFont="1" applyFill="1" applyBorder="1" applyProtection="1"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0" fontId="5" fillId="2" borderId="0" xfId="0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3" fontId="5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5" fillId="2" borderId="0" xfId="0" applyFont="1" applyFill="1" applyBorder="1" applyProtection="1">
      <protection hidden="1"/>
    </xf>
    <xf numFmtId="3" fontId="5" fillId="2" borderId="0" xfId="0" applyNumberFormat="1" applyFont="1" applyFill="1" applyBorder="1" applyProtection="1">
      <protection hidden="1"/>
    </xf>
    <xf numFmtId="0" fontId="9" fillId="2" borderId="0" xfId="0" applyFont="1" applyFill="1" applyAlignment="1" applyProtection="1">
      <alignment horizontal="right" vertical="center" indent="2"/>
      <protection hidden="1"/>
    </xf>
    <xf numFmtId="3" fontId="9" fillId="2" borderId="0" xfId="0" applyNumberFormat="1" applyFont="1" applyFill="1" applyAlignment="1" applyProtection="1">
      <alignment horizontal="right" vertical="center" indent="1"/>
      <protection hidden="1"/>
    </xf>
    <xf numFmtId="0" fontId="7" fillId="2" borderId="0" xfId="0" applyFont="1" applyFill="1" applyBorder="1" applyAlignment="1" applyProtection="1">
      <alignment horizontal="right" vertical="center" indent="1"/>
      <protection hidden="1"/>
    </xf>
    <xf numFmtId="3" fontId="8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5" fillId="0" borderId="0" xfId="0" applyFont="1" applyBorder="1" applyProtection="1">
      <protection hidden="1"/>
    </xf>
    <xf numFmtId="3" fontId="3" fillId="3" borderId="0" xfId="0" applyNumberFormat="1" applyFont="1" applyFill="1" applyBorder="1" applyAlignment="1" applyProtection="1">
      <alignment horizontal="right" vertical="center" indent="1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3" fontId="1" fillId="2" borderId="0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5" fontId="5" fillId="2" borderId="0" xfId="0" applyNumberFormat="1" applyFont="1" applyFill="1" applyBorder="1" applyProtection="1">
      <protection hidden="1"/>
    </xf>
    <xf numFmtId="3" fontId="0" fillId="2" borderId="0" xfId="0" applyNumberFormat="1" applyFill="1" applyBorder="1" applyAlignment="1" applyProtection="1">
      <alignment horizontal="right" vertical="center" indent="1"/>
      <protection locked="0" hidden="1"/>
    </xf>
    <xf numFmtId="0" fontId="0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right" wrapText="1" indent="1"/>
      <protection hidden="1"/>
    </xf>
    <xf numFmtId="0" fontId="5" fillId="2" borderId="0" xfId="0" applyFont="1" applyFill="1" applyAlignment="1" applyProtection="1">
      <alignment horizontal="right" vertical="center" indent="2"/>
      <protection hidden="1"/>
    </xf>
    <xf numFmtId="0" fontId="5" fillId="2" borderId="0" xfId="0" applyFont="1" applyFill="1" applyBorder="1" applyAlignment="1" applyProtection="1">
      <alignment horizontal="right" vertical="center" indent="1"/>
      <protection hidden="1"/>
    </xf>
    <xf numFmtId="3" fontId="14" fillId="3" borderId="0" xfId="0" applyNumberFormat="1" applyFont="1" applyFill="1" applyBorder="1" applyAlignment="1" applyProtection="1">
      <alignment horizontal="right" vertical="center" indent="1"/>
      <protection hidden="1"/>
    </xf>
    <xf numFmtId="0" fontId="12" fillId="2" borderId="0" xfId="0" applyFont="1" applyFill="1" applyAlignment="1" applyProtection="1">
      <alignment horizontal="right" vertical="center" indent="2"/>
      <protection hidden="1"/>
    </xf>
    <xf numFmtId="3" fontId="14" fillId="4" borderId="0" xfId="0" applyNumberFormat="1" applyFont="1" applyFill="1" applyBorder="1" applyAlignment="1" applyProtection="1">
      <alignment horizontal="right" vertical="center" indent="1"/>
      <protection hidden="1"/>
    </xf>
    <xf numFmtId="3" fontId="16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16" fillId="2" borderId="0" xfId="0" applyNumberFormat="1" applyFont="1" applyFill="1" applyAlignment="1" applyProtection="1">
      <alignment horizontal="right" vertical="center" indent="1"/>
      <protection hidden="1"/>
    </xf>
    <xf numFmtId="3" fontId="17" fillId="2" borderId="2" xfId="0" applyNumberFormat="1" applyFont="1" applyFill="1" applyBorder="1" applyAlignment="1" applyProtection="1">
      <alignment horizontal="right" vertical="center" indent="1"/>
      <protection locked="0" hidden="1"/>
    </xf>
    <xf numFmtId="3" fontId="17" fillId="2" borderId="5" xfId="0" applyNumberFormat="1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horizontal="right" vertical="center" indent="2"/>
      <protection hidden="1"/>
    </xf>
    <xf numFmtId="0" fontId="14" fillId="0" borderId="0" xfId="0" applyFont="1" applyAlignment="1" applyProtection="1">
      <alignment horizontal="right" vertical="center" indent="2"/>
      <protection hidden="1"/>
    </xf>
    <xf numFmtId="4" fontId="5" fillId="2" borderId="9" xfId="0" applyNumberFormat="1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3" fillId="2" borderId="9" xfId="0" applyFont="1" applyFill="1" applyBorder="1" applyAlignment="1" applyProtection="1">
      <alignment horizontal="left" vertical="center" indent="2"/>
      <protection hidden="1"/>
    </xf>
    <xf numFmtId="0" fontId="7" fillId="2" borderId="0" xfId="0" applyFont="1" applyFill="1" applyAlignment="1" applyProtection="1">
      <alignment horizontal="right" vertical="center" indent="1"/>
      <protection hidden="1"/>
    </xf>
    <xf numFmtId="165" fontId="16" fillId="2" borderId="2" xfId="0" applyNumberFormat="1" applyFont="1" applyFill="1" applyBorder="1" applyAlignment="1" applyProtection="1">
      <alignment horizontal="right" vertical="center" indent="1"/>
      <protection locked="0" hidden="1"/>
    </xf>
    <xf numFmtId="4" fontId="1" fillId="2" borderId="0" xfId="0" applyNumberFormat="1" applyFont="1" applyFill="1" applyAlignment="1" applyProtection="1">
      <alignment horizontal="left" indent="2"/>
      <protection hidden="1"/>
    </xf>
    <xf numFmtId="0" fontId="1" fillId="2" borderId="0" xfId="0" applyFont="1" applyFill="1" applyAlignment="1" applyProtection="1">
      <alignment horizontal="left" indent="2"/>
      <protection hidden="1"/>
    </xf>
    <xf numFmtId="0" fontId="10" fillId="2" borderId="0" xfId="0" applyFont="1" applyFill="1" applyBorder="1" applyAlignment="1" applyProtection="1">
      <alignment horizontal="left" vertical="center" indent="2"/>
      <protection hidden="1"/>
    </xf>
    <xf numFmtId="3" fontId="3" fillId="2" borderId="0" xfId="0" applyNumberFormat="1" applyFont="1" applyFill="1" applyBorder="1" applyAlignment="1" applyProtection="1">
      <alignment horizontal="right" vertical="center" indent="1"/>
      <protection hidden="1"/>
    </xf>
    <xf numFmtId="0" fontId="0" fillId="2" borderId="0" xfId="0" applyFill="1" applyBorder="1" applyAlignment="1">
      <alignment horizontal="right" indent="1"/>
    </xf>
    <xf numFmtId="0" fontId="0" fillId="2" borderId="0" xfId="0" applyFont="1" applyFill="1" applyBorder="1" applyAlignment="1">
      <alignment horizontal="right" indent="1"/>
    </xf>
    <xf numFmtId="2" fontId="0" fillId="2" borderId="5" xfId="0" applyNumberFormat="1" applyFill="1" applyBorder="1" applyAlignment="1" applyProtection="1">
      <alignment horizontal="right" vertical="center" indent="1"/>
      <protection hidden="1"/>
    </xf>
    <xf numFmtId="2" fontId="0" fillId="2" borderId="5" xfId="0" applyNumberFormat="1" applyFill="1" applyBorder="1" applyAlignment="1" applyProtection="1">
      <alignment horizontal="right" indent="1"/>
      <protection hidden="1"/>
    </xf>
    <xf numFmtId="4" fontId="5" fillId="2" borderId="0" xfId="0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165" fontId="1" fillId="2" borderId="0" xfId="0" applyNumberFormat="1" applyFont="1" applyFill="1" applyProtection="1">
      <protection hidden="1"/>
    </xf>
    <xf numFmtId="3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Border="1" applyProtection="1">
      <protection hidden="1"/>
    </xf>
    <xf numFmtId="3" fontId="20" fillId="2" borderId="0" xfId="0" applyNumberFormat="1" applyFont="1" applyFill="1" applyBorder="1" applyProtection="1">
      <protection hidden="1"/>
    </xf>
    <xf numFmtId="3" fontId="20" fillId="2" borderId="0" xfId="0" applyNumberFormat="1" applyFont="1" applyFill="1" applyProtection="1">
      <protection hidden="1"/>
    </xf>
    <xf numFmtId="164" fontId="1" fillId="2" borderId="0" xfId="0" applyNumberFormat="1" applyFont="1" applyFill="1" applyProtection="1">
      <protection hidden="1"/>
    </xf>
    <xf numFmtId="0" fontId="1" fillId="2" borderId="0" xfId="0" applyFont="1" applyFill="1" applyBorder="1" applyProtection="1">
      <protection hidden="1"/>
    </xf>
    <xf numFmtId="49" fontId="1" fillId="2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/>
    <xf numFmtId="0" fontId="20" fillId="2" borderId="0" xfId="0" applyFont="1" applyFill="1" applyProtection="1">
      <protection hidden="1"/>
    </xf>
    <xf numFmtId="3" fontId="1" fillId="2" borderId="0" xfId="0" applyNumberFormat="1" applyFont="1" applyFill="1" applyAlignment="1" applyProtection="1">
      <alignment horizontal="right"/>
      <protection hidden="1"/>
    </xf>
    <xf numFmtId="4" fontId="1" fillId="2" borderId="0" xfId="0" applyNumberFormat="1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 indent="2"/>
      <protection hidden="1"/>
    </xf>
    <xf numFmtId="0" fontId="1" fillId="2" borderId="9" xfId="0" applyFont="1" applyFill="1" applyBorder="1" applyProtection="1">
      <protection hidden="1"/>
    </xf>
    <xf numFmtId="3" fontId="1" fillId="2" borderId="9" xfId="0" applyNumberFormat="1" applyFont="1" applyFill="1" applyBorder="1" applyAlignment="1" applyProtection="1">
      <protection hidden="1"/>
    </xf>
    <xf numFmtId="3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0" borderId="0" xfId="0" applyFont="1" applyProtection="1">
      <protection hidden="1"/>
    </xf>
    <xf numFmtId="3" fontId="1" fillId="2" borderId="0" xfId="0" applyNumberFormat="1" applyFont="1" applyFill="1" applyBorder="1" applyAlignment="1" applyProtection="1">
      <protection hidden="1"/>
    </xf>
    <xf numFmtId="0" fontId="1" fillId="0" borderId="0" xfId="0" applyFont="1" applyAlignment="1"/>
    <xf numFmtId="9" fontId="1" fillId="2" borderId="0" xfId="0" applyNumberFormat="1" applyFont="1" applyFill="1" applyProtection="1">
      <protection hidden="1"/>
    </xf>
    <xf numFmtId="3" fontId="1" fillId="2" borderId="0" xfId="0" applyNumberFormat="1" applyFont="1" applyFill="1" applyBorder="1" applyAlignment="1" applyProtection="1">
      <protection hidden="1"/>
    </xf>
    <xf numFmtId="0" fontId="1" fillId="2" borderId="0" xfId="0" applyFont="1" applyFill="1" applyAlignment="1"/>
    <xf numFmtId="0" fontId="14" fillId="2" borderId="0" xfId="0" applyFont="1" applyFill="1" applyAlignment="1" applyProtection="1">
      <alignment horizontal="left" vertical="center" indent="1"/>
      <protection hidden="1"/>
    </xf>
    <xf numFmtId="0" fontId="15" fillId="0" borderId="0" xfId="0" applyFont="1" applyAlignment="1">
      <alignment horizontal="left" vertical="center" indent="1"/>
    </xf>
    <xf numFmtId="1" fontId="0" fillId="2" borderId="4" xfId="0" applyNumberFormat="1" applyFill="1" applyBorder="1" applyAlignment="1" applyProtection="1">
      <alignment horizontal="right" vertical="center" indent="1"/>
      <protection locked="0" hidden="1"/>
    </xf>
    <xf numFmtId="1" fontId="0" fillId="0" borderId="5" xfId="0" applyNumberForma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2" fontId="1" fillId="2" borderId="7" xfId="0" applyNumberFormat="1" applyFont="1" applyFill="1" applyBorder="1" applyAlignment="1" applyProtection="1">
      <protection hidden="1"/>
    </xf>
    <xf numFmtId="2" fontId="1" fillId="0" borderId="7" xfId="0" applyNumberFormat="1" applyFont="1" applyBorder="1" applyAlignment="1"/>
    <xf numFmtId="0" fontId="9" fillId="2" borderId="3" xfId="0" applyFont="1" applyFill="1" applyBorder="1" applyAlignment="1" applyProtection="1">
      <alignment horizontal="right" vertical="center"/>
      <protection hidden="1"/>
    </xf>
    <xf numFmtId="0" fontId="0" fillId="0" borderId="0" xfId="0" applyAlignment="1"/>
    <xf numFmtId="3" fontId="18" fillId="3" borderId="0" xfId="0" applyNumberFormat="1" applyFont="1" applyFill="1" applyBorder="1" applyAlignment="1" applyProtection="1">
      <alignment horizontal="right" vertical="center" indent="1"/>
      <protection hidden="1"/>
    </xf>
    <xf numFmtId="0" fontId="16" fillId="0" borderId="0" xfId="0" applyFont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right" vertical="center" indent="1"/>
      <protection hidden="1"/>
    </xf>
    <xf numFmtId="0" fontId="0" fillId="0" borderId="0" xfId="0" applyFont="1" applyAlignment="1">
      <alignment horizontal="right" indent="1"/>
    </xf>
    <xf numFmtId="0" fontId="0" fillId="0" borderId="8" xfId="0" applyBorder="1" applyAlignment="1">
      <alignment horizontal="right" indent="1"/>
    </xf>
    <xf numFmtId="0" fontId="5" fillId="0" borderId="0" xfId="0" applyFont="1" applyAlignment="1" applyProtection="1">
      <alignment horizontal="right" indent="1"/>
      <protection hidden="1"/>
    </xf>
    <xf numFmtId="0" fontId="0" fillId="0" borderId="0" xfId="0" applyAlignment="1">
      <alignment horizontal="right" indent="1"/>
    </xf>
    <xf numFmtId="0" fontId="5" fillId="2" borderId="0" xfId="0" applyFont="1" applyFill="1" applyAlignment="1" applyProtection="1">
      <protection hidden="1"/>
    </xf>
    <xf numFmtId="0" fontId="1" fillId="2" borderId="0" xfId="0" applyFont="1" applyFill="1" applyBorder="1" applyAlignment="1"/>
    <xf numFmtId="0" fontId="0" fillId="0" borderId="0" xfId="0" applyBorder="1" applyAlignment="1"/>
    <xf numFmtId="0" fontId="0" fillId="0" borderId="1" xfId="0" applyBorder="1" applyAlignment="1"/>
    <xf numFmtId="0" fontId="13" fillId="5" borderId="0" xfId="0" applyFont="1" applyFill="1" applyAlignment="1" applyProtection="1">
      <alignment horizontal="righ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R68"/>
  <sheetViews>
    <sheetView showGridLines="0" tabSelected="1" workbookViewId="0">
      <selection activeCell="B11" sqref="B11"/>
    </sheetView>
  </sheetViews>
  <sheetFormatPr defaultColWidth="0" defaultRowHeight="15" zeroHeight="1" x14ac:dyDescent="0.25"/>
  <cols>
    <col min="1" max="1" width="85.42578125" style="30" customWidth="1"/>
    <col min="2" max="2" width="30.28515625" style="30" customWidth="1"/>
    <col min="3" max="3" width="57.85546875" style="30" customWidth="1"/>
    <col min="4" max="4" width="19.7109375" style="18" customWidth="1"/>
    <col min="5" max="5" width="11.140625" style="18" customWidth="1"/>
    <col min="6" max="7" width="10" style="18" customWidth="1"/>
    <col min="8" max="8" width="11.28515625" style="18" customWidth="1"/>
    <col min="9" max="9" width="7" style="18" customWidth="1"/>
    <col min="10" max="10" width="5.7109375" style="18" customWidth="1"/>
    <col min="11" max="13" width="9.140625" style="6" hidden="1" customWidth="1"/>
    <col min="14" max="18" width="9.140625" style="10" hidden="1" customWidth="1"/>
    <col min="19" max="16384" width="9.140625" hidden="1"/>
  </cols>
  <sheetData>
    <row r="1" spans="1:18" ht="30" customHeight="1" x14ac:dyDescent="0.25">
      <c r="A1" s="111" t="s">
        <v>23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8" ht="27" customHeight="1" x14ac:dyDescent="0.25">
      <c r="A2" s="91" t="s">
        <v>24</v>
      </c>
      <c r="B2" s="91"/>
      <c r="C2" s="91"/>
      <c r="D2" s="92"/>
      <c r="E2" s="92"/>
      <c r="F2" s="92"/>
      <c r="G2" s="92"/>
      <c r="H2" s="92"/>
      <c r="I2" s="92"/>
      <c r="J2" s="92"/>
    </row>
    <row r="3" spans="1:18" s="31" customFormat="1" ht="21" customHeight="1" thickBot="1" x14ac:dyDescent="0.3">
      <c r="A3" s="6"/>
      <c r="B3" s="6"/>
      <c r="C3" s="67" t="s">
        <v>35</v>
      </c>
      <c r="D3" s="67" t="s">
        <v>36</v>
      </c>
      <c r="E3" s="11"/>
      <c r="F3" s="11"/>
      <c r="G3" s="11"/>
      <c r="H3" s="11" t="s">
        <v>37</v>
      </c>
      <c r="I3" s="11"/>
      <c r="J3" s="11"/>
      <c r="K3" s="18"/>
      <c r="L3" s="18"/>
      <c r="M3" s="18"/>
      <c r="N3" s="30"/>
      <c r="O3" s="30"/>
      <c r="P3" s="30"/>
      <c r="Q3" s="30"/>
      <c r="R3" s="30"/>
    </row>
    <row r="4" spans="1:18" s="31" customFormat="1" ht="21" customHeight="1" thickBot="1" x14ac:dyDescent="0.3">
      <c r="A4" s="8" t="s">
        <v>41</v>
      </c>
      <c r="B4" s="44"/>
      <c r="C4" s="68">
        <f>IF(B4=0,0,(-1283*LN(B4)+32182))</f>
        <v>0</v>
      </c>
      <c r="D4" s="69">
        <f>B4*C4*0.3</f>
        <v>0</v>
      </c>
      <c r="E4" s="69" t="e">
        <f>(D19/$B$8)*D4</f>
        <v>#VALUE!</v>
      </c>
      <c r="F4" s="68" t="e">
        <f>E4/B4/0.3</f>
        <v>#VALUE!</v>
      </c>
      <c r="G4" s="11"/>
      <c r="H4" s="69">
        <f>B4*C4</f>
        <v>0</v>
      </c>
      <c r="I4" s="11"/>
      <c r="J4" s="11"/>
      <c r="K4" s="18"/>
      <c r="L4" s="18"/>
      <c r="M4" s="18"/>
      <c r="N4" s="33"/>
      <c r="O4" s="30"/>
      <c r="P4" s="30"/>
      <c r="Q4" s="30"/>
      <c r="R4" s="30"/>
    </row>
    <row r="5" spans="1:18" s="31" customFormat="1" ht="12" customHeight="1" thickBot="1" x14ac:dyDescent="0.3">
      <c r="A5" s="8"/>
      <c r="B5" s="45"/>
      <c r="C5" s="68"/>
      <c r="D5" s="69"/>
      <c r="E5" s="69"/>
      <c r="F5" s="68"/>
      <c r="G5" s="11"/>
      <c r="H5" s="69"/>
      <c r="I5" s="11"/>
      <c r="J5" s="11"/>
      <c r="K5" s="18"/>
      <c r="L5" s="18"/>
      <c r="M5" s="18"/>
      <c r="N5" s="33"/>
      <c r="O5" s="30"/>
      <c r="P5" s="30"/>
      <c r="Q5" s="30"/>
      <c r="R5" s="30"/>
    </row>
    <row r="6" spans="1:18" s="31" customFormat="1" ht="21" customHeight="1" thickBot="1" x14ac:dyDescent="0.3">
      <c r="A6" s="8" t="s">
        <v>5</v>
      </c>
      <c r="B6" s="44"/>
      <c r="C6" s="68">
        <f>IF(OR(B6&lt;0.2*B4,B4=0),0,-1230*LN(B6)+25460)</f>
        <v>0</v>
      </c>
      <c r="D6" s="69">
        <f>IF(OR(B6&lt;0.2*(B4),(B4)=0),0,IF(AND(B6&gt;=0.2*(B4),B6&lt;=0.6*B4),B6*C6*0.3,B4*0.6*C6*0.3))</f>
        <v>0</v>
      </c>
      <c r="E6" s="69" t="e">
        <f>(D19/$B$8)*D6</f>
        <v>#VALUE!</v>
      </c>
      <c r="F6" s="68" t="e">
        <f>E6/B6/0.3</f>
        <v>#VALUE!</v>
      </c>
      <c r="G6" s="11"/>
      <c r="H6" s="69">
        <f>IF(OR(B6&lt;0.2*B4,B4=0),0,IF(AND(B6&gt;=0.2*B4,B6&lt;=0.6*B4),B6*C6,B4*0.6*C6))</f>
        <v>0</v>
      </c>
      <c r="I6" s="11"/>
      <c r="J6" s="11"/>
      <c r="K6" s="18"/>
      <c r="L6" s="18"/>
      <c r="M6" s="18"/>
      <c r="N6" s="33"/>
      <c r="O6" s="30"/>
      <c r="P6" s="30"/>
      <c r="Q6" s="30"/>
      <c r="R6" s="30"/>
    </row>
    <row r="7" spans="1:18" s="31" customFormat="1" ht="12" customHeight="1" x14ac:dyDescent="0.25">
      <c r="A7" s="8"/>
      <c r="B7" s="6"/>
      <c r="C7" s="68"/>
      <c r="D7" s="69">
        <f>SUM(D4:D6)</f>
        <v>0</v>
      </c>
      <c r="E7" s="69"/>
      <c r="F7" s="68"/>
      <c r="G7" s="11"/>
      <c r="H7" s="69">
        <f>SUM($H$4:$H$6)</f>
        <v>0</v>
      </c>
      <c r="I7" s="11"/>
      <c r="J7" s="11"/>
      <c r="K7" s="18"/>
      <c r="L7" s="18"/>
      <c r="M7" s="18"/>
      <c r="N7" s="30"/>
      <c r="O7" s="30"/>
      <c r="P7" s="30"/>
      <c r="Q7" s="30"/>
      <c r="R7" s="30"/>
    </row>
    <row r="8" spans="1:18" s="31" customFormat="1" ht="15" customHeight="1" x14ac:dyDescent="0.25">
      <c r="A8" s="42" t="s">
        <v>29</v>
      </c>
      <c r="B8" s="13" t="str">
        <f>IF(B4&lt;=1000,"VÝKON MUSÍ PŘEKROČIT 1 MW",IF(B6&lt;0.2*B4,0.3*C4,IF(AND(B6&gt;=0.2*B4,B6&lt;=0.6*B4),0.3*C4+0.3*C6*B6/B4,0.3*C4+(-1230*LN(B6)+25460)*0.3*0.6)))</f>
        <v>VÝKON MUSÍ PŘEKROČIT 1 MW</v>
      </c>
      <c r="C8" s="70">
        <f>0.3*(C4)+0.3*C6</f>
        <v>0</v>
      </c>
      <c r="D8" s="71" t="e">
        <f>IF(B6&lt;0.2*B4,B4*B8,IF(AND(B6&gt;=0.2*B4,B6&lt;=0.6*B4),(B8-(-1230*LN(B6)+25460)*0.3*B6/B4)*B4+(-1230*LN(B6)+25460)*0.3*B6,(B8-(-1230*LN(B6)+25460)*0.3*0.6)*B4+(-1230*LN(B6)+25460)*0.3*0.6*B4))</f>
        <v>#VALUE!</v>
      </c>
      <c r="E8" s="72" t="e">
        <f>SUM(E4:E6)</f>
        <v>#VALUE!</v>
      </c>
      <c r="F8" s="68" t="e">
        <f>0.3*(F4+F6)</f>
        <v>#VALUE!</v>
      </c>
      <c r="G8" s="11"/>
      <c r="H8" s="73" t="e">
        <f>D8/H7</f>
        <v>#VALUE!</v>
      </c>
      <c r="I8" s="11"/>
      <c r="J8" s="11"/>
      <c r="K8" s="18"/>
      <c r="L8" s="18"/>
      <c r="M8" s="18"/>
      <c r="N8" s="30"/>
      <c r="O8" s="30"/>
      <c r="P8" s="30"/>
      <c r="Q8" s="30"/>
      <c r="R8" s="30"/>
    </row>
    <row r="9" spans="1:18" s="31" customFormat="1" ht="15" customHeight="1" x14ac:dyDescent="0.25">
      <c r="A9" s="9"/>
      <c r="B9" s="34"/>
      <c r="C9" s="70"/>
      <c r="D9" s="71" t="e">
        <f>0.3*B6*(-1230*LN(B6)+25460)+0.3*B4*(-1283*LN(B4)+32182)</f>
        <v>#NUM!</v>
      </c>
      <c r="E9" s="68" t="s">
        <v>6</v>
      </c>
      <c r="F9" s="68"/>
      <c r="G9" s="11"/>
      <c r="H9" s="69"/>
      <c r="I9" s="11"/>
      <c r="J9" s="11"/>
      <c r="K9" s="18"/>
      <c r="L9" s="18"/>
      <c r="M9" s="18"/>
      <c r="N9" s="30"/>
      <c r="O9" s="30"/>
      <c r="P9" s="30"/>
      <c r="Q9" s="30"/>
      <c r="R9" s="30"/>
    </row>
    <row r="10" spans="1:18" s="31" customFormat="1" ht="15" customHeight="1" x14ac:dyDescent="0.25">
      <c r="A10" s="9"/>
      <c r="B10" s="22"/>
      <c r="C10" s="74"/>
      <c r="D10" s="71">
        <f>IF(OR(B6&lt;0.2*B4,B4&lt;=1000),0,IF(AND(B6&gt;=0.2*B4,B6&lt;=0.6*B4,B4&gt;1000),0.3*B6*(-1230*LN(B6)+25460),0.3*0.6*B4*(-1230*LN(B6)+25460))+IF(B4&gt;1000,0.3*B4*(-1283*LN(B4)+32182)))</f>
        <v>0</v>
      </c>
      <c r="E10" s="11" t="s">
        <v>7</v>
      </c>
      <c r="F10" s="11"/>
      <c r="G10" s="11"/>
      <c r="H10" s="11"/>
      <c r="I10" s="75" t="s">
        <v>22</v>
      </c>
      <c r="J10" s="11"/>
      <c r="K10" s="18"/>
      <c r="L10" s="18"/>
      <c r="M10" s="18"/>
      <c r="N10" s="30"/>
      <c r="O10" s="30"/>
      <c r="P10" s="30"/>
      <c r="Q10" s="30"/>
      <c r="R10" s="30"/>
    </row>
    <row r="11" spans="1:18" s="31" customFormat="1" ht="15" customHeight="1" x14ac:dyDescent="0.25">
      <c r="A11" s="21"/>
      <c r="B11" s="22"/>
      <c r="C11" s="74"/>
      <c r="D11" s="76"/>
      <c r="E11" s="11"/>
      <c r="F11" s="69"/>
      <c r="G11" s="11"/>
      <c r="H11" s="77"/>
      <c r="I11" s="11"/>
      <c r="J11" s="11"/>
      <c r="K11" s="18"/>
      <c r="L11" s="18"/>
      <c r="M11" s="18"/>
      <c r="N11" s="30"/>
      <c r="O11" s="30"/>
      <c r="P11" s="30"/>
      <c r="Q11" s="30"/>
      <c r="R11" s="30"/>
    </row>
    <row r="12" spans="1:18" s="31" customFormat="1" ht="12" customHeight="1" x14ac:dyDescent="0.25">
      <c r="A12" s="21"/>
      <c r="B12" s="23"/>
      <c r="C12" s="74"/>
      <c r="D12" s="32"/>
      <c r="E12" s="69"/>
      <c r="F12" s="74"/>
      <c r="G12" s="11"/>
      <c r="H12" s="77"/>
      <c r="I12" s="11"/>
      <c r="J12" s="11"/>
      <c r="K12" s="18"/>
      <c r="L12" s="18"/>
      <c r="M12" s="18"/>
      <c r="N12" s="30"/>
      <c r="O12" s="30"/>
      <c r="P12" s="30"/>
      <c r="Q12" s="30"/>
      <c r="R12" s="30"/>
    </row>
    <row r="13" spans="1:18" s="31" customFormat="1" ht="21" customHeight="1" x14ac:dyDescent="0.25">
      <c r="A13" s="24" t="s">
        <v>19</v>
      </c>
      <c r="B13" s="29">
        <f>SUM($H$4:$H$6)</f>
        <v>0</v>
      </c>
      <c r="C13" s="74"/>
      <c r="D13" s="74" t="s">
        <v>8</v>
      </c>
      <c r="E13" s="69"/>
      <c r="F13" s="74" t="s">
        <v>34</v>
      </c>
      <c r="G13" s="11"/>
      <c r="H13" s="77"/>
      <c r="I13" s="11"/>
      <c r="J13" s="11"/>
      <c r="K13" s="18"/>
      <c r="L13" s="18"/>
      <c r="M13" s="18"/>
      <c r="N13" s="30"/>
      <c r="O13" s="30"/>
      <c r="P13" s="30"/>
      <c r="Q13" s="30"/>
      <c r="R13" s="30"/>
    </row>
    <row r="14" spans="1:18" s="31" customFormat="1" ht="12" customHeight="1" thickBot="1" x14ac:dyDescent="0.3">
      <c r="A14" s="24"/>
      <c r="B14" s="25"/>
      <c r="C14" s="74"/>
      <c r="D14" s="32"/>
      <c r="E14" s="69"/>
      <c r="F14" s="74"/>
      <c r="G14" s="11"/>
      <c r="H14" s="77"/>
      <c r="I14" s="11"/>
      <c r="J14" s="11"/>
      <c r="K14" s="18"/>
      <c r="L14" s="18"/>
      <c r="M14" s="18"/>
      <c r="N14" s="30"/>
      <c r="O14" s="30"/>
      <c r="P14" s="30"/>
      <c r="Q14" s="30"/>
      <c r="R14" s="30"/>
    </row>
    <row r="15" spans="1:18" s="31" customFormat="1" ht="21" customHeight="1" thickBot="1" x14ac:dyDescent="0.3">
      <c r="A15" s="39" t="s">
        <v>30</v>
      </c>
      <c r="B15" s="46"/>
      <c r="C15" s="74"/>
      <c r="D15" s="32">
        <f>0.5*B15</f>
        <v>0</v>
      </c>
      <c r="E15" s="78" t="s">
        <v>31</v>
      </c>
      <c r="F15" s="79" t="e">
        <f>IF(B6&lt;0.2*B4,D15/B4,IF(AND(B6&gt;=0.2*B4,B6&lt;=0.6*B4),(D15-((-1230*LN(B6)+25460)*(D15/D8)*0.3*B6))/B4+(-1230*LN(B6)+25460)*(D15/D8)*0.3*B6/B4,(D15-((-1230*LN(B6)+25460)*(D15/D8)*0.3*0.6*B4))/B4+(-1230*LN(B6)+25460)*(D15/D8)*0.3*0.6))</f>
        <v>#NUM!</v>
      </c>
      <c r="G15" s="79" t="e">
        <f>D15/B4</f>
        <v>#DIV/0!</v>
      </c>
      <c r="H15" s="77"/>
      <c r="I15" s="11"/>
      <c r="J15" s="11"/>
      <c r="K15" s="18"/>
      <c r="L15" s="18"/>
      <c r="M15" s="18"/>
      <c r="N15" s="30"/>
      <c r="O15" s="30"/>
      <c r="P15" s="30"/>
      <c r="Q15" s="30"/>
      <c r="R15" s="30"/>
    </row>
    <row r="16" spans="1:18" s="31" customFormat="1" ht="12" customHeight="1" thickBot="1" x14ac:dyDescent="0.3">
      <c r="A16" s="39"/>
      <c r="B16" s="47"/>
      <c r="C16" s="74"/>
      <c r="D16" s="32"/>
      <c r="E16" s="78"/>
      <c r="F16" s="79"/>
      <c r="G16" s="79"/>
      <c r="H16" s="77"/>
      <c r="I16" s="11"/>
      <c r="J16" s="11"/>
      <c r="K16" s="18"/>
      <c r="L16" s="18"/>
      <c r="M16" s="18"/>
      <c r="N16" s="30"/>
      <c r="O16" s="30"/>
      <c r="P16" s="30"/>
      <c r="Q16" s="30"/>
      <c r="R16" s="30"/>
    </row>
    <row r="17" spans="1:18" s="31" customFormat="1" ht="21" customHeight="1" thickBot="1" x14ac:dyDescent="0.3">
      <c r="A17" s="39" t="s">
        <v>21</v>
      </c>
      <c r="B17" s="46"/>
      <c r="C17" s="80" t="str">
        <f>IF(B17&gt;B15,"ZPŮSOBILÉ NÁKLADY NESMÍ PŘEVÝŠIT CELKOVÉ!","")</f>
        <v/>
      </c>
      <c r="D17" s="32">
        <f>0.3*B17</f>
        <v>0</v>
      </c>
      <c r="E17" s="78" t="s">
        <v>32</v>
      </c>
      <c r="F17" s="79" t="e">
        <f>IF(B6&lt;0.2*B4,D17/B4,IF(AND(B6&gt;=0.2*B4,B6&lt;=0.6*B4),(D17-((-1230*LN(B6)+25460)*(D17/D8)*0.3*B6))/B4+(-1230*LN(B6)+25460)*(D17/D8)*0.3*B6/B4,(D17-((-1230*LN(B6)+25460)*(D17/D8)*0.3*B4*0.6))/B4+(-1230*LN(B6)+25460)*(D17/D8)*0.3*0.6))</f>
        <v>#NUM!</v>
      </c>
      <c r="G17" s="79" t="e">
        <f>D17/B4</f>
        <v>#DIV/0!</v>
      </c>
      <c r="H17" s="77"/>
      <c r="I17" s="11"/>
      <c r="J17" s="11"/>
      <c r="K17" s="18"/>
      <c r="L17" s="18"/>
      <c r="M17" s="18"/>
      <c r="N17" s="30"/>
      <c r="O17" s="30"/>
      <c r="P17" s="30"/>
      <c r="Q17" s="30"/>
      <c r="R17" s="30"/>
    </row>
    <row r="18" spans="1:18" s="31" customFormat="1" ht="21.75" customHeight="1" thickBot="1" x14ac:dyDescent="0.3">
      <c r="A18" s="38"/>
      <c r="B18" s="63"/>
      <c r="C18" s="74"/>
      <c r="D18" s="74"/>
      <c r="E18" s="74"/>
      <c r="F18" s="74"/>
      <c r="G18" s="11"/>
      <c r="H18" s="11"/>
      <c r="I18" s="11"/>
      <c r="J18" s="11"/>
      <c r="K18" s="18"/>
      <c r="L18" s="18" t="s">
        <v>9</v>
      </c>
      <c r="M18" s="18"/>
      <c r="N18" s="30"/>
      <c r="O18" s="30"/>
      <c r="P18" s="30"/>
      <c r="Q18" s="30"/>
      <c r="R18" s="30"/>
    </row>
    <row r="19" spans="1:18" ht="21" customHeight="1" thickBot="1" x14ac:dyDescent="0.3">
      <c r="A19" s="38" t="s">
        <v>33</v>
      </c>
      <c r="B19" s="13">
        <f>IF(B4&lt;=1000,0,FLOOR(MIN(B8,F15,F17),1))</f>
        <v>0</v>
      </c>
      <c r="C19" s="26" t="s">
        <v>28</v>
      </c>
      <c r="D19" s="27"/>
      <c r="F19" s="20"/>
      <c r="G19" s="20"/>
    </row>
    <row r="20" spans="1:18" ht="18" customHeight="1" x14ac:dyDescent="0.25">
      <c r="A20" s="28"/>
      <c r="B20" s="23"/>
      <c r="C20" s="22"/>
      <c r="D20" s="22"/>
      <c r="E20" s="22"/>
      <c r="F20" s="20"/>
      <c r="G20" s="19"/>
      <c r="H20" s="64"/>
      <c r="I20" s="65"/>
      <c r="J20" s="66"/>
    </row>
    <row r="21" spans="1:18" ht="21" customHeight="1" x14ac:dyDescent="0.25">
      <c r="A21" s="37" t="s">
        <v>10</v>
      </c>
      <c r="B21" s="29">
        <f>IF(B4&lt;=1000,0,IF($B$6&lt;0.2*$B$4,$B$4*$B$19,IF(AND($B$6&gt;=0.2*$B$4,$B$6&lt;=0.6*$B$4),($B$19-((-1230*LN(B6)+25460)*($B$19/$B$8)*0.3*$B$6/$B$4))*$B$4+(-1230*LN(B6)+25460)*($B$19/$B$8)*0.3*$B$6,($B$19-((-1230*LN(B6)+25460)*($B$19/$B$8)*0.3*0.6))*$B$4+(-1230*LN(B6)+25460)*($B$19/$B$8)*0.3*$B$4*0.6)))</f>
        <v>0</v>
      </c>
      <c r="C21" s="53" t="s">
        <v>26</v>
      </c>
      <c r="D21" s="43">
        <f>IF(D19&gt;B19,"PŘEKROČEN LIMIT",IF(B4&lt;=1000,0,IF($B$6&lt;0.2*$B$4,$B$4*$D$19,IF(AND($B$6&gt;=0.2*$B$4,$B$6&lt;=0.6*$B$4),($D$19-((-1230*LN(B6)+25460)*($D$19/$B$8)*0.3*$B$6/$B$4))*$B$4+(-1230*LN(B6)+25460)*($D$19/$B$8)*0.3*$B$6,($D$19-((-1230*LN(B6)+25460)*($D$19/$B$8)*0.3*0.6))*$B$4+(-1230*LN(B6)+25460)*($D$19/$B$8)*0.3*$B$4*0.6))))</f>
        <v>0</v>
      </c>
      <c r="E21" s="22"/>
      <c r="F21" s="20"/>
      <c r="G21" s="19"/>
      <c r="H21" s="7"/>
    </row>
    <row r="22" spans="1:18" ht="12.75" customHeight="1" x14ac:dyDescent="0.25">
      <c r="A22" s="16"/>
      <c r="B22" s="17"/>
      <c r="C22" s="7"/>
      <c r="F22" s="20"/>
      <c r="G22" s="19"/>
    </row>
    <row r="23" spans="1:18" ht="12.75" customHeight="1" x14ac:dyDescent="0.25">
      <c r="A23" s="16"/>
      <c r="B23" s="17"/>
      <c r="C23" s="7"/>
      <c r="D23" s="23"/>
      <c r="G23" s="19"/>
    </row>
    <row r="24" spans="1:18" ht="21" customHeight="1" x14ac:dyDescent="0.25">
      <c r="A24" s="91" t="s">
        <v>25</v>
      </c>
      <c r="B24" s="91"/>
      <c r="C24" s="91"/>
      <c r="D24" s="92"/>
      <c r="E24" s="92"/>
      <c r="F24" s="92"/>
      <c r="G24" s="92"/>
      <c r="H24" s="92"/>
      <c r="I24" s="92"/>
      <c r="J24" s="92"/>
    </row>
    <row r="25" spans="1:18" ht="21" customHeight="1" thickBot="1" x14ac:dyDescent="0.3">
      <c r="A25" s="16"/>
      <c r="B25" s="17"/>
      <c r="C25" s="7"/>
      <c r="F25" s="107"/>
      <c r="G25" s="99"/>
      <c r="H25" s="99"/>
      <c r="I25" s="99"/>
    </row>
    <row r="26" spans="1:18" ht="21" customHeight="1" thickBot="1" x14ac:dyDescent="0.3">
      <c r="A26" s="36" t="s">
        <v>11</v>
      </c>
      <c r="B26" s="54"/>
      <c r="C26" s="98" t="s">
        <v>18</v>
      </c>
      <c r="D26" s="99"/>
      <c r="F26" s="100">
        <f>IF(OR(B26&lt;20,B26&gt;20000,B28&lt;0.1*B4),0,IF(AND(B28&lt;=(B4-B6),B28&lt;=0.6*B4),(1178663.6*B26^0.787),IF(AND(B28&lt;=(B4-B6),B28&gt;0.6*B4),(1178663.6*B26^0.787)*(0.6*B4/B28),IF(AND(B28&gt;(B4-B6),B28&lt;=0.4*B4,B6&gt;0.6*B4),(1178663.6*B26^0.787),IF(AND(B28&gt;(B4-B6),B28&gt;0.4*B4,B6&gt;0.6*B4),(1178663.6*B26^0.787)*(0.4*B4/B28),IF(AND(B28&gt;(B4-B6),B6&lt;=0.6*B4,B6&gt;=0.4*B4),(1178663.6*B26^0.787)*((B4-B6)/B28),IF(AND(B28&gt;(B4-B6),B6&lt;0.4*B4),(1178663.6*B26^0.787)*(0.6*B4/B28),0)))))))</f>
        <v>0</v>
      </c>
      <c r="G26" s="101"/>
      <c r="H26" s="101"/>
      <c r="I26" s="101"/>
    </row>
    <row r="27" spans="1:18" ht="21" customHeight="1" thickBot="1" x14ac:dyDescent="0.3">
      <c r="A27" s="8"/>
      <c r="B27" s="12"/>
      <c r="C27" s="37"/>
      <c r="D27" s="7"/>
      <c r="F27" s="32"/>
      <c r="G27" s="32"/>
      <c r="H27" s="96" t="e">
        <f>(0.6*(B4+#REF!)-B6)/(6.2807*B26^0.959)</f>
        <v>#REF!</v>
      </c>
      <c r="I27" s="97"/>
    </row>
    <row r="28" spans="1:18" ht="21" customHeight="1" thickBot="1" x14ac:dyDescent="0.3">
      <c r="A28" s="36" t="s">
        <v>12</v>
      </c>
      <c r="B28" s="29" t="str">
        <f>IF(B26=0,"",IF(OR(B26&lt;20,B26&gt;20000),"MIMO POVOLENÝ ROZSAH",6.241*B26^0.961))</f>
        <v/>
      </c>
      <c r="C28" s="102" t="s">
        <v>20</v>
      </c>
      <c r="D28" s="103"/>
      <c r="E28" s="104"/>
      <c r="F28" s="93"/>
      <c r="G28" s="94"/>
      <c r="H28" s="94"/>
      <c r="I28" s="95"/>
    </row>
    <row r="29" spans="1:18" ht="12" customHeight="1" thickBot="1" x14ac:dyDescent="0.3">
      <c r="A29" s="36"/>
      <c r="B29" s="58"/>
      <c r="C29" s="40"/>
      <c r="D29" s="60"/>
      <c r="E29" s="59"/>
      <c r="F29" s="61"/>
      <c r="G29" s="61"/>
      <c r="H29" s="61"/>
      <c r="I29" s="62"/>
    </row>
    <row r="30" spans="1:18" ht="21" customHeight="1" thickBot="1" x14ac:dyDescent="0.3">
      <c r="A30" s="8"/>
      <c r="B30" s="35"/>
      <c r="C30" s="105" t="s">
        <v>27</v>
      </c>
      <c r="D30" s="106"/>
      <c r="E30" s="106"/>
      <c r="F30" s="93"/>
      <c r="G30" s="94"/>
      <c r="H30" s="94"/>
      <c r="I30" s="95"/>
    </row>
    <row r="31" spans="1:18" ht="21" customHeight="1" x14ac:dyDescent="0.25">
      <c r="A31" s="48" t="s">
        <v>40</v>
      </c>
      <c r="B31" s="41">
        <f>IF(OR(B26&lt;20,B4&lt;=1000),0,FLOOR(MIN(F33:H34),1))</f>
        <v>0</v>
      </c>
      <c r="C31" s="55" t="s">
        <v>13</v>
      </c>
      <c r="D31" s="56"/>
      <c r="E31" s="11"/>
      <c r="F31" s="89">
        <f>0.3*F26</f>
        <v>0</v>
      </c>
      <c r="G31" s="108"/>
      <c r="H31" s="108"/>
      <c r="I31" s="11"/>
      <c r="J31" s="11"/>
    </row>
    <row r="32" spans="1:18" ht="21" customHeight="1" thickBot="1" x14ac:dyDescent="0.3">
      <c r="A32" s="7"/>
      <c r="C32" s="57" t="s">
        <v>14</v>
      </c>
      <c r="D32" s="57"/>
      <c r="E32" s="11"/>
      <c r="F32" s="89"/>
      <c r="G32" s="90"/>
      <c r="H32" s="90"/>
      <c r="I32" s="11"/>
      <c r="J32" s="11"/>
    </row>
    <row r="33" spans="1:18" s="76" customFormat="1" ht="21" customHeight="1" thickTop="1" x14ac:dyDescent="0.25">
      <c r="A33" s="50"/>
      <c r="B33" s="51"/>
      <c r="C33" s="52"/>
      <c r="D33" s="52"/>
      <c r="E33" s="81"/>
      <c r="F33" s="82"/>
      <c r="G33" s="83">
        <f>0.3*F26</f>
        <v>0</v>
      </c>
      <c r="H33" s="84"/>
      <c r="I33" s="81" t="s">
        <v>39</v>
      </c>
      <c r="J33" s="81"/>
      <c r="K33" s="11"/>
      <c r="L33" s="11"/>
      <c r="M33" s="11"/>
      <c r="N33" s="85"/>
      <c r="O33" s="85"/>
      <c r="P33" s="85"/>
      <c r="Q33" s="85"/>
      <c r="R33" s="85"/>
    </row>
    <row r="34" spans="1:18" s="76" customFormat="1" ht="21" customHeight="1" x14ac:dyDescent="0.25">
      <c r="A34" s="49" t="s">
        <v>16</v>
      </c>
      <c r="B34" s="41">
        <f>B31+D21</f>
        <v>0</v>
      </c>
      <c r="C34" s="57" t="s">
        <v>15</v>
      </c>
      <c r="D34" s="57"/>
      <c r="E34" s="11"/>
      <c r="F34" s="86">
        <f>D21*2</f>
        <v>0</v>
      </c>
      <c r="G34" s="86" t="e">
        <f>IF(D19&gt;B19,"PŘEKROČEN LIMIT",IF(B6&lt;0.2*B4,B4*D19,IF(AND(B6&gt;=0.2*B4,B6&lt;=0.6*B4),($D$19-((-1230*LN(B6)+25460)*($D$19/$B$8)*0.3*$B$6/$B$4))*$B$4+(-1230*LN(B6)+25460)*($D$19/$B$8)*0.3*$B$6,($D$19-((-1230*LN(B6)+25460)*($D$19/$B$8)*0.3*0.6))*$B$4+(-1230*LN(B6)+25460)*($D$19/$B$8)*0.3*$B$4*0.6)))*2</f>
        <v>#NUM!</v>
      </c>
      <c r="H34" s="87"/>
      <c r="I34" s="11" t="s">
        <v>38</v>
      </c>
      <c r="J34" s="11"/>
      <c r="K34" s="11"/>
      <c r="L34" s="11"/>
      <c r="M34" s="11"/>
      <c r="N34" s="85"/>
      <c r="O34" s="85"/>
      <c r="P34" s="85"/>
      <c r="Q34" s="85"/>
      <c r="R34" s="85"/>
    </row>
    <row r="35" spans="1:18" s="76" customFormat="1" ht="21" customHeight="1" x14ac:dyDescent="0.25">
      <c r="A35" s="7"/>
      <c r="B35" s="7"/>
      <c r="C35" s="57" t="s">
        <v>17</v>
      </c>
      <c r="D35" s="57"/>
      <c r="E35" s="11"/>
      <c r="F35" s="11"/>
      <c r="G35" s="86">
        <f>0.5*F28</f>
        <v>0</v>
      </c>
      <c r="H35" s="87"/>
      <c r="I35" s="88">
        <v>0.5</v>
      </c>
      <c r="J35" s="11"/>
      <c r="K35" s="11"/>
      <c r="L35" s="11"/>
      <c r="M35" s="11"/>
      <c r="N35" s="85"/>
      <c r="O35" s="85"/>
      <c r="P35" s="85"/>
      <c r="Q35" s="85"/>
      <c r="R35" s="85"/>
    </row>
    <row r="36" spans="1:18" s="76" customFormat="1" ht="21" hidden="1" customHeight="1" x14ac:dyDescent="0.25">
      <c r="A36" s="14"/>
      <c r="B36" s="15"/>
      <c r="C36" s="7"/>
      <c r="D36" s="18"/>
      <c r="E36" s="11"/>
      <c r="F36" s="11"/>
      <c r="G36" s="86"/>
      <c r="H36" s="11"/>
      <c r="I36" s="11"/>
      <c r="J36" s="11"/>
      <c r="K36" s="11"/>
      <c r="L36" s="11"/>
      <c r="M36" s="11"/>
      <c r="N36" s="85"/>
      <c r="O36" s="85"/>
      <c r="P36" s="85"/>
      <c r="Q36" s="85"/>
      <c r="R36" s="85"/>
    </row>
    <row r="37" spans="1:18" s="76" customFormat="1" ht="21" hidden="1" customHeight="1" x14ac:dyDescent="0.25">
      <c r="A37" s="16"/>
      <c r="B37" s="17"/>
      <c r="C37" s="7"/>
      <c r="D37" s="18"/>
      <c r="E37" s="11"/>
      <c r="F37" s="11"/>
      <c r="G37" s="86"/>
      <c r="H37" s="11"/>
      <c r="I37" s="11"/>
      <c r="J37" s="11"/>
      <c r="K37" s="11"/>
      <c r="L37" s="11"/>
      <c r="M37" s="11"/>
      <c r="N37" s="85"/>
      <c r="O37" s="85"/>
      <c r="P37" s="85"/>
      <c r="Q37" s="85"/>
      <c r="R37" s="85"/>
    </row>
    <row r="38" spans="1:18" s="76" customFormat="1" ht="21" hidden="1" customHeight="1" x14ac:dyDescent="0.25">
      <c r="A38" s="16"/>
      <c r="B38" s="17"/>
      <c r="C38" s="7"/>
      <c r="D38" s="18"/>
      <c r="E38" s="11"/>
      <c r="F38" s="11"/>
      <c r="G38" s="86"/>
      <c r="H38" s="11"/>
      <c r="I38" s="11"/>
      <c r="J38" s="11"/>
      <c r="K38" s="11"/>
      <c r="L38" s="11"/>
      <c r="M38" s="11"/>
      <c r="N38" s="85"/>
      <c r="O38" s="85"/>
      <c r="P38" s="85"/>
      <c r="Q38" s="85"/>
      <c r="R38" s="85"/>
    </row>
    <row r="39" spans="1:18" s="76" customFormat="1" hidden="1" x14ac:dyDescent="0.25">
      <c r="A39" s="18"/>
      <c r="B39" s="18"/>
      <c r="C39" s="18"/>
      <c r="D39" s="18"/>
      <c r="E39" s="11"/>
      <c r="F39" s="11"/>
      <c r="G39" s="86"/>
      <c r="H39" s="11"/>
      <c r="I39" s="11"/>
      <c r="J39" s="11"/>
      <c r="K39" s="11"/>
      <c r="L39" s="11"/>
      <c r="M39" s="11"/>
      <c r="N39" s="85"/>
      <c r="O39" s="85"/>
      <c r="P39" s="85"/>
      <c r="Q39" s="85"/>
      <c r="R39" s="85"/>
    </row>
    <row r="40" spans="1:18" s="76" customFormat="1" hidden="1" x14ac:dyDescent="0.25">
      <c r="A40" s="18"/>
      <c r="B40" s="18"/>
      <c r="C40" s="18"/>
      <c r="D40" s="18"/>
      <c r="E40" s="11"/>
      <c r="F40" s="11"/>
      <c r="G40" s="86"/>
      <c r="H40" s="11"/>
      <c r="I40" s="11"/>
      <c r="J40" s="11"/>
      <c r="K40" s="11"/>
      <c r="L40" s="11"/>
      <c r="M40" s="11"/>
      <c r="N40" s="85"/>
      <c r="O40" s="85"/>
      <c r="P40" s="85"/>
      <c r="Q40" s="85"/>
      <c r="R40" s="85"/>
    </row>
    <row r="41" spans="1:18" s="76" customFormat="1" hidden="1" x14ac:dyDescent="0.25">
      <c r="A41" s="18"/>
      <c r="B41" s="18"/>
      <c r="C41" s="18"/>
      <c r="D41" s="18"/>
      <c r="E41" s="11"/>
      <c r="F41" s="11"/>
      <c r="G41" s="86"/>
      <c r="H41" s="11"/>
      <c r="I41" s="11"/>
      <c r="J41" s="11"/>
      <c r="K41" s="11"/>
      <c r="L41" s="11"/>
      <c r="M41" s="11"/>
      <c r="N41" s="85"/>
      <c r="O41" s="85"/>
      <c r="P41" s="85"/>
      <c r="Q41" s="85"/>
      <c r="R41" s="85"/>
    </row>
    <row r="42" spans="1:18" s="76" customFormat="1" hidden="1" x14ac:dyDescent="0.25">
      <c r="A42" s="18"/>
      <c r="B42" s="20"/>
      <c r="C42" s="18"/>
      <c r="D42" s="18"/>
      <c r="E42" s="11"/>
      <c r="F42" s="11"/>
      <c r="G42" s="86"/>
      <c r="H42" s="11"/>
      <c r="I42" s="11"/>
      <c r="J42" s="11"/>
      <c r="K42" s="11"/>
      <c r="L42" s="11"/>
      <c r="M42" s="11"/>
      <c r="N42" s="85"/>
      <c r="O42" s="85"/>
      <c r="P42" s="85"/>
      <c r="Q42" s="85"/>
      <c r="R42" s="85"/>
    </row>
    <row r="43" spans="1:18" s="76" customFormat="1" hidden="1" x14ac:dyDescent="0.25">
      <c r="A43" s="18"/>
      <c r="B43" s="19"/>
      <c r="C43" s="18"/>
      <c r="D43" s="18"/>
      <c r="E43" s="11"/>
      <c r="F43" s="11"/>
      <c r="G43" s="86"/>
      <c r="H43" s="11"/>
      <c r="I43" s="11"/>
      <c r="J43" s="11"/>
      <c r="K43" s="11"/>
      <c r="L43" s="11"/>
      <c r="M43" s="11"/>
      <c r="N43" s="85"/>
      <c r="O43" s="85"/>
      <c r="P43" s="85"/>
      <c r="Q43" s="85"/>
      <c r="R43" s="85"/>
    </row>
    <row r="44" spans="1:18" s="76" customFormat="1" hidden="1" x14ac:dyDescent="0.25">
      <c r="A44" s="18"/>
      <c r="B44" s="19"/>
      <c r="C44" s="18"/>
      <c r="D44" s="18"/>
      <c r="E44" s="11"/>
      <c r="F44" s="11"/>
      <c r="G44" s="86"/>
      <c r="H44" s="11"/>
      <c r="I44" s="11"/>
      <c r="J44" s="11"/>
      <c r="K44" s="11"/>
      <c r="L44" s="11"/>
      <c r="M44" s="11"/>
      <c r="N44" s="85"/>
      <c r="O44" s="85"/>
      <c r="P44" s="85"/>
      <c r="Q44" s="85"/>
      <c r="R44" s="85"/>
    </row>
    <row r="45" spans="1:18" s="76" customFormat="1" hidden="1" x14ac:dyDescent="0.25">
      <c r="A45" s="18"/>
      <c r="B45" s="19"/>
      <c r="C45" s="18"/>
      <c r="D45" s="18"/>
      <c r="E45" s="11"/>
      <c r="F45" s="11"/>
      <c r="G45" s="86"/>
      <c r="H45" s="11"/>
      <c r="I45" s="11"/>
      <c r="J45" s="11"/>
      <c r="K45" s="11"/>
      <c r="L45" s="11"/>
      <c r="M45" s="11"/>
      <c r="N45" s="85"/>
      <c r="O45" s="85"/>
      <c r="P45" s="85"/>
      <c r="Q45" s="85"/>
      <c r="R45" s="85"/>
    </row>
    <row r="46" spans="1:18" s="76" customFormat="1" hidden="1" x14ac:dyDescent="0.25">
      <c r="A46" s="18"/>
      <c r="B46" s="18"/>
      <c r="C46" s="18"/>
      <c r="D46" s="18"/>
      <c r="E46" s="11"/>
      <c r="F46" s="11"/>
      <c r="G46" s="86"/>
      <c r="H46" s="11"/>
      <c r="I46" s="11"/>
      <c r="J46" s="11"/>
      <c r="K46" s="11"/>
      <c r="L46" s="11"/>
      <c r="M46" s="11"/>
      <c r="N46" s="85"/>
      <c r="O46" s="85"/>
      <c r="P46" s="85"/>
      <c r="Q46" s="85"/>
      <c r="R46" s="85"/>
    </row>
    <row r="47" spans="1:18" s="76" customFormat="1" hidden="1" x14ac:dyDescent="0.25">
      <c r="A47" s="18"/>
      <c r="B47" s="18"/>
      <c r="C47" s="18"/>
      <c r="D47" s="18"/>
      <c r="E47" s="11"/>
      <c r="F47" s="11"/>
      <c r="G47" s="86"/>
      <c r="H47" s="11"/>
      <c r="I47" s="11"/>
      <c r="J47" s="11"/>
      <c r="K47" s="11"/>
      <c r="L47" s="11"/>
      <c r="M47" s="11"/>
      <c r="N47" s="85"/>
      <c r="O47" s="85"/>
      <c r="P47" s="85"/>
      <c r="Q47" s="85"/>
      <c r="R47" s="85"/>
    </row>
    <row r="48" spans="1:18" s="76" customFormat="1" hidden="1" x14ac:dyDescent="0.25">
      <c r="A48" s="18"/>
      <c r="B48" s="18"/>
      <c r="C48" s="18"/>
      <c r="D48" s="18"/>
      <c r="E48" s="11"/>
      <c r="F48" s="11"/>
      <c r="G48" s="86"/>
      <c r="H48" s="11"/>
      <c r="I48" s="11"/>
      <c r="J48" s="11"/>
      <c r="K48" s="11"/>
      <c r="L48" s="11"/>
      <c r="M48" s="11"/>
      <c r="N48" s="85"/>
      <c r="O48" s="85"/>
      <c r="P48" s="85"/>
      <c r="Q48" s="85"/>
      <c r="R48" s="85"/>
    </row>
    <row r="49" spans="1:18" s="76" customFormat="1" hidden="1" x14ac:dyDescent="0.25">
      <c r="A49" s="18"/>
      <c r="B49" s="18"/>
      <c r="C49" s="18"/>
      <c r="D49" s="18"/>
      <c r="E49" s="11"/>
      <c r="F49" s="11"/>
      <c r="G49" s="86"/>
      <c r="H49" s="11"/>
      <c r="I49" s="11"/>
      <c r="J49" s="11"/>
      <c r="K49" s="11"/>
      <c r="L49" s="11"/>
      <c r="M49" s="11"/>
      <c r="N49" s="85"/>
      <c r="O49" s="85"/>
      <c r="P49" s="85"/>
      <c r="Q49" s="85"/>
      <c r="R49" s="85"/>
    </row>
    <row r="50" spans="1:18" s="76" customFormat="1" hidden="1" x14ac:dyDescent="0.25">
      <c r="A50" s="18"/>
      <c r="B50" s="18"/>
      <c r="C50" s="18"/>
      <c r="D50" s="18"/>
      <c r="E50" s="11"/>
      <c r="F50" s="11"/>
      <c r="G50" s="86"/>
      <c r="H50" s="11"/>
      <c r="I50" s="11"/>
      <c r="J50" s="11"/>
      <c r="K50" s="11"/>
      <c r="L50" s="11"/>
      <c r="M50" s="11"/>
      <c r="N50" s="85"/>
      <c r="O50" s="85"/>
      <c r="P50" s="85"/>
      <c r="Q50" s="85"/>
      <c r="R50" s="85"/>
    </row>
    <row r="51" spans="1:18" s="76" customFormat="1" hidden="1" x14ac:dyDescent="0.25">
      <c r="A51" s="18"/>
      <c r="B51" s="18"/>
      <c r="C51" s="18"/>
      <c r="D51" s="18"/>
      <c r="E51" s="11"/>
      <c r="F51" s="11"/>
      <c r="G51" s="86"/>
      <c r="H51" s="11"/>
      <c r="I51" s="11"/>
      <c r="J51" s="11"/>
      <c r="K51" s="11"/>
      <c r="L51" s="11"/>
      <c r="M51" s="11"/>
      <c r="N51" s="85"/>
      <c r="O51" s="85"/>
      <c r="P51" s="85"/>
      <c r="Q51" s="85"/>
      <c r="R51" s="85"/>
    </row>
    <row r="52" spans="1:18" s="76" customFormat="1" hidden="1" x14ac:dyDescent="0.25">
      <c r="A52" s="18"/>
      <c r="B52" s="18"/>
      <c r="C52" s="18"/>
      <c r="D52" s="18"/>
      <c r="E52" s="11"/>
      <c r="F52" s="11"/>
      <c r="G52" s="86"/>
      <c r="H52" s="11"/>
      <c r="I52" s="11"/>
      <c r="J52" s="11"/>
      <c r="K52" s="11"/>
      <c r="L52" s="11"/>
      <c r="M52" s="11"/>
      <c r="N52" s="85"/>
      <c r="O52" s="85"/>
      <c r="P52" s="85"/>
      <c r="Q52" s="85"/>
      <c r="R52" s="85"/>
    </row>
    <row r="53" spans="1:18" s="76" customFormat="1" hidden="1" x14ac:dyDescent="0.25">
      <c r="A53" s="18"/>
      <c r="B53" s="18"/>
      <c r="C53" s="18"/>
      <c r="D53" s="18"/>
      <c r="E53" s="11"/>
      <c r="F53" s="11"/>
      <c r="G53" s="86"/>
      <c r="H53" s="11"/>
      <c r="I53" s="11"/>
      <c r="J53" s="11"/>
      <c r="K53" s="11"/>
      <c r="L53" s="11"/>
      <c r="M53" s="11"/>
      <c r="N53" s="85"/>
      <c r="O53" s="85"/>
      <c r="P53" s="85"/>
      <c r="Q53" s="85"/>
      <c r="R53" s="85"/>
    </row>
    <row r="54" spans="1:18" s="76" customFormat="1" hidden="1" x14ac:dyDescent="0.25">
      <c r="A54" s="18"/>
      <c r="B54" s="18"/>
      <c r="C54" s="18"/>
      <c r="D54" s="18"/>
      <c r="E54" s="11"/>
      <c r="F54" s="11"/>
      <c r="G54" s="86"/>
      <c r="H54" s="11"/>
      <c r="I54" s="11"/>
      <c r="J54" s="11"/>
      <c r="K54" s="11"/>
      <c r="L54" s="11"/>
      <c r="M54" s="11"/>
      <c r="N54" s="85"/>
      <c r="O54" s="85"/>
      <c r="P54" s="85"/>
      <c r="Q54" s="85"/>
      <c r="R54" s="85"/>
    </row>
    <row r="55" spans="1:18" s="76" customFormat="1" hidden="1" x14ac:dyDescent="0.25">
      <c r="A55" s="18"/>
      <c r="B55" s="18"/>
      <c r="C55" s="18"/>
      <c r="D55" s="18"/>
      <c r="E55" s="11"/>
      <c r="F55" s="11"/>
      <c r="G55" s="86"/>
      <c r="H55" s="11"/>
      <c r="I55" s="11"/>
      <c r="J55" s="11"/>
      <c r="K55" s="11"/>
      <c r="L55" s="11"/>
      <c r="M55" s="11"/>
      <c r="N55" s="85"/>
      <c r="O55" s="85"/>
      <c r="P55" s="85"/>
      <c r="Q55" s="85"/>
      <c r="R55" s="85"/>
    </row>
    <row r="56" spans="1:18" s="76" customFormat="1" hidden="1" x14ac:dyDescent="0.25">
      <c r="A56" s="18"/>
      <c r="B56" s="18"/>
      <c r="C56" s="18"/>
      <c r="D56" s="18"/>
      <c r="E56" s="11"/>
      <c r="F56" s="11"/>
      <c r="G56" s="86"/>
      <c r="H56" s="11"/>
      <c r="I56" s="11"/>
      <c r="J56" s="11"/>
      <c r="K56" s="11"/>
      <c r="L56" s="11"/>
      <c r="M56" s="11"/>
      <c r="N56" s="85"/>
      <c r="O56" s="85"/>
      <c r="P56" s="85"/>
      <c r="Q56" s="85"/>
      <c r="R56" s="85"/>
    </row>
    <row r="57" spans="1:18" s="76" customFormat="1" hidden="1" x14ac:dyDescent="0.25">
      <c r="A57" s="18"/>
      <c r="B57" s="18"/>
      <c r="C57" s="18"/>
      <c r="D57" s="18"/>
      <c r="E57" s="11"/>
      <c r="F57" s="11"/>
      <c r="G57" s="86"/>
      <c r="H57" s="11"/>
      <c r="I57" s="11"/>
      <c r="J57" s="11"/>
      <c r="K57" s="11"/>
      <c r="L57" s="11"/>
      <c r="M57" s="11"/>
      <c r="N57" s="85"/>
      <c r="O57" s="85"/>
      <c r="P57" s="85"/>
      <c r="Q57" s="85"/>
      <c r="R57" s="85"/>
    </row>
    <row r="58" spans="1:18" s="76" customFormat="1" hidden="1" x14ac:dyDescent="0.25">
      <c r="A58" s="18"/>
      <c r="B58" s="18"/>
      <c r="C58" s="18"/>
      <c r="D58" s="18"/>
      <c r="E58" s="11"/>
      <c r="F58" s="11"/>
      <c r="G58" s="86"/>
      <c r="H58" s="11"/>
      <c r="I58" s="11"/>
      <c r="J58" s="11"/>
      <c r="K58" s="11"/>
      <c r="L58" s="11"/>
      <c r="M58" s="11"/>
      <c r="N58" s="85"/>
      <c r="O58" s="85"/>
      <c r="P58" s="85"/>
      <c r="Q58" s="85"/>
      <c r="R58" s="85"/>
    </row>
    <row r="59" spans="1:18" s="76" customFormat="1" hidden="1" x14ac:dyDescent="0.25">
      <c r="A59" s="18"/>
      <c r="B59" s="18"/>
      <c r="C59" s="18"/>
      <c r="D59" s="18"/>
      <c r="E59" s="11"/>
      <c r="F59" s="11"/>
      <c r="G59" s="86"/>
      <c r="H59" s="11"/>
      <c r="I59" s="11"/>
      <c r="J59" s="11"/>
      <c r="K59" s="11"/>
      <c r="L59" s="11"/>
      <c r="M59" s="11"/>
      <c r="N59" s="85"/>
      <c r="O59" s="85"/>
      <c r="P59" s="85"/>
      <c r="Q59" s="85"/>
      <c r="R59" s="85"/>
    </row>
    <row r="60" spans="1:18" s="76" customFormat="1" hidden="1" x14ac:dyDescent="0.25">
      <c r="A60" s="18"/>
      <c r="B60" s="18"/>
      <c r="C60" s="18"/>
      <c r="D60" s="18"/>
      <c r="E60" s="11"/>
      <c r="F60" s="11"/>
      <c r="G60" s="86"/>
      <c r="H60" s="11"/>
      <c r="I60" s="11"/>
      <c r="J60" s="11"/>
      <c r="K60" s="11"/>
      <c r="L60" s="11"/>
      <c r="M60" s="11"/>
      <c r="N60" s="85"/>
      <c r="O60" s="85"/>
      <c r="P60" s="85"/>
      <c r="Q60" s="85"/>
      <c r="R60" s="85"/>
    </row>
    <row r="61" spans="1:18" s="76" customFormat="1" hidden="1" x14ac:dyDescent="0.25">
      <c r="A61" s="18"/>
      <c r="B61" s="18"/>
      <c r="C61" s="18"/>
      <c r="D61" s="18"/>
      <c r="E61" s="11"/>
      <c r="F61" s="11"/>
      <c r="G61" s="86"/>
      <c r="H61" s="11"/>
      <c r="I61" s="11"/>
      <c r="J61" s="11"/>
      <c r="K61" s="11"/>
      <c r="L61" s="11"/>
      <c r="M61" s="11"/>
      <c r="N61" s="85"/>
      <c r="O61" s="85"/>
      <c r="P61" s="85"/>
      <c r="Q61" s="85"/>
      <c r="R61" s="85"/>
    </row>
    <row r="62" spans="1:18" s="76" customFormat="1" hidden="1" x14ac:dyDescent="0.25">
      <c r="A62" s="18"/>
      <c r="B62" s="18"/>
      <c r="C62" s="18"/>
      <c r="D62" s="18"/>
      <c r="E62" s="11"/>
      <c r="F62" s="11"/>
      <c r="G62" s="86"/>
      <c r="H62" s="11"/>
      <c r="I62" s="11"/>
      <c r="J62" s="11"/>
      <c r="K62" s="11"/>
      <c r="L62" s="11"/>
      <c r="M62" s="11"/>
      <c r="N62" s="85"/>
      <c r="O62" s="85"/>
      <c r="P62" s="85"/>
      <c r="Q62" s="85"/>
      <c r="R62" s="85"/>
    </row>
    <row r="63" spans="1:18" s="76" customFormat="1" hidden="1" x14ac:dyDescent="0.25">
      <c r="A63" s="18"/>
      <c r="B63" s="18"/>
      <c r="C63" s="18"/>
      <c r="D63" s="18"/>
      <c r="E63" s="11"/>
      <c r="F63" s="11"/>
      <c r="G63" s="86"/>
      <c r="H63" s="11"/>
      <c r="I63" s="11"/>
      <c r="J63" s="11"/>
      <c r="K63" s="11"/>
      <c r="L63" s="11"/>
      <c r="M63" s="11"/>
      <c r="N63" s="85"/>
      <c r="O63" s="85"/>
      <c r="P63" s="85"/>
      <c r="Q63" s="85"/>
      <c r="R63" s="85"/>
    </row>
    <row r="64" spans="1:18" s="76" customFormat="1" x14ac:dyDescent="0.25">
      <c r="A64" s="30"/>
      <c r="B64" s="30"/>
      <c r="C64" s="30"/>
      <c r="D64" s="18"/>
      <c r="E64" s="11"/>
      <c r="F64" s="11"/>
      <c r="G64" s="86">
        <f>0.3*F30</f>
        <v>0</v>
      </c>
      <c r="H64" s="11"/>
      <c r="I64" s="88">
        <v>0.3</v>
      </c>
      <c r="J64" s="11"/>
      <c r="K64" s="11"/>
      <c r="L64" s="11"/>
      <c r="M64" s="11"/>
      <c r="N64" s="85"/>
      <c r="O64" s="85"/>
      <c r="P64" s="85"/>
      <c r="Q64" s="85"/>
      <c r="R64" s="85"/>
    </row>
    <row r="65" spans="1:18" s="76" customFormat="1" x14ac:dyDescent="0.25">
      <c r="A65" s="30"/>
      <c r="B65" s="30"/>
      <c r="C65" s="30"/>
      <c r="D65" s="18"/>
      <c r="E65" s="11"/>
      <c r="F65" s="11"/>
      <c r="G65" s="11"/>
      <c r="H65" s="11"/>
      <c r="I65" s="11"/>
      <c r="J65" s="11"/>
      <c r="K65" s="11"/>
      <c r="L65" s="11"/>
      <c r="M65" s="11"/>
      <c r="N65" s="85"/>
      <c r="O65" s="85"/>
      <c r="P65" s="85"/>
      <c r="Q65" s="85"/>
      <c r="R65" s="85"/>
    </row>
    <row r="66" spans="1:18" x14ac:dyDescent="0.25"/>
    <row r="67" spans="1:18" x14ac:dyDescent="0.25"/>
    <row r="68" spans="1:18" x14ac:dyDescent="0.25"/>
  </sheetData>
  <sheetProtection password="CFF2" sheet="1" objects="1" scenarios="1"/>
  <mergeCells count="13">
    <mergeCell ref="F32:H32"/>
    <mergeCell ref="A1:K1"/>
    <mergeCell ref="A2:J2"/>
    <mergeCell ref="A24:J24"/>
    <mergeCell ref="F28:I28"/>
    <mergeCell ref="H27:I27"/>
    <mergeCell ref="C26:D26"/>
    <mergeCell ref="F26:I26"/>
    <mergeCell ref="C28:E28"/>
    <mergeCell ref="C30:E30"/>
    <mergeCell ref="F30:I30"/>
    <mergeCell ref="F25:I25"/>
    <mergeCell ref="F31:H31"/>
  </mergeCells>
  <pageMargins left="0.7" right="0.7" top="0.78740157499999996" bottom="0.78740157499999996" header="0.3" footer="0.3"/>
  <pageSetup paperSize="9" orientation="portrait" r:id="rId1"/>
  <ignoredErrors>
    <ignoredError sqref="D8:D9 E4:F8 H8 H27 G34 F15:G1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109" t="s">
        <v>0</v>
      </c>
      <c r="B1" s="109" t="s">
        <v>1</v>
      </c>
      <c r="C1" s="99"/>
      <c r="D1" t="s">
        <v>4</v>
      </c>
    </row>
    <row r="2" spans="1:4" ht="15.75" thickBot="1" x14ac:dyDescent="0.3">
      <c r="A2" s="110"/>
      <c r="B2" s="1" t="s">
        <v>3</v>
      </c>
      <c r="C2" s="1" t="s">
        <v>2</v>
      </c>
      <c r="D2" s="4">
        <v>0.35</v>
      </c>
    </row>
    <row r="3" spans="1:4" ht="15.75" thickTop="1" x14ac:dyDescent="0.25">
      <c r="A3" s="3">
        <v>1</v>
      </c>
      <c r="B3" s="2">
        <f>(-1092*LN(A3)+28657)*$D$2</f>
        <v>10029.949999999999</v>
      </c>
      <c r="C3" s="2">
        <f>(-814*LN(A3)+25417)*$D$2</f>
        <v>8895.9499999999989</v>
      </c>
      <c r="D3" s="5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109" t="s">
        <v>0</v>
      </c>
      <c r="B1" s="109" t="s">
        <v>1</v>
      </c>
      <c r="C1" s="99"/>
      <c r="D1" t="s">
        <v>4</v>
      </c>
    </row>
    <row r="2" spans="1:4" ht="15.75" thickBot="1" x14ac:dyDescent="0.3">
      <c r="A2" s="110"/>
      <c r="B2" s="1" t="s">
        <v>3</v>
      </c>
      <c r="C2" s="1" t="s">
        <v>2</v>
      </c>
      <c r="D2" s="4">
        <v>0.35</v>
      </c>
    </row>
    <row r="3" spans="1:4" ht="15.75" thickTop="1" x14ac:dyDescent="0.25">
      <c r="A3" s="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 s="3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 s="3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 s="3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 s="3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 s="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 s="3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 s="3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 s="3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 s="3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 s="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 s="3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 s="3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 s="3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 s="3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 s="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 s="3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 s="3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 s="3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 s="3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 s="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 s="3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 s="3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 s="3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 s="3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 s="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 s="3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 s="3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 s="3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 s="3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 s="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 s="3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 s="3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 s="3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 s="3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 s="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 s="3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 s="3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 s="3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 s="3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 s="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 s="3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 s="3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 s="3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 s="3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 s="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 s="3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 s="3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 s="3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 s="3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 s="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 s="3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 s="3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 s="3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 s="3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 s="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 s="3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 s="3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 s="3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 s="3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 s="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 s="3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 s="3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 s="3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 s="3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 s="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 s="3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 s="3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 s="3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 s="3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 s="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 s="3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 s="3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 s="3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 s="3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 s="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 s="3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 s="3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 s="3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 s="3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 s="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 s="3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 s="3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 s="3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 s="3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 s="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 s="3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 s="3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 s="3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 s="3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 s="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 s="3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 s="3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 s="3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 s="3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 s="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 s="3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 s="3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 s="3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 s="3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 s="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 s="3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 s="3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 s="3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 s="3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 s="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 s="3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 s="3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 s="3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 s="3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 s="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 s="3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 s="3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 s="3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 s="3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 s="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 s="3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 s="3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 s="3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 s="3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 s="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 s="3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 s="3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 s="3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 s="3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 s="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 s="3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 s="3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 s="3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 s="3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 s="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 s="3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 s="3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 s="3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 s="3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 s="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 s="3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 s="3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 s="3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 s="3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 s="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 s="3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 s="3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 s="3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 s="3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 s="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 s="3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 s="3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 s="3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 s="3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 s="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 s="3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 s="3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 s="3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 s="3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 s="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 s="3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 s="3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 s="3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 s="3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 s="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 s="3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 s="3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 s="3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 s="3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 s="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 s="3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 s="3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 s="3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 s="3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 s="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 s="3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 s="3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 s="3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 s="3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 s="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 s="3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 s="3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 s="3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 s="3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 s="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 s="3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 s="3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 s="3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 s="3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 s="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 s="3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 s="3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 s="3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 s="3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 s="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 s="3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 s="3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 s="3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 s="3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 s="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 s="3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 s="3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 s="3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 s="3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 s="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 s="3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 s="3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 s="3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 s="3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 s="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 s="3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 s="3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 s="3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 s="3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 s="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 s="3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 s="3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 s="3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 s="3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 s="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 s="3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 s="3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 s="3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 s="3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 s="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 s="3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 s="3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 s="3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 s="3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 s="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 s="3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 s="3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 s="3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 s="3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 s="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 s="3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 s="3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 s="3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 s="3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 s="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 s="3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 s="3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 s="3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 s="3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 s="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 s="3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 s="3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 s="3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 s="3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 s="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 s="3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 s="3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 s="3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 s="3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 s="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 s="3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 s="3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 s="3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 s="3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 s="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 s="3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 s="3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 s="3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 s="3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 s="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 s="3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 s="3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 s="3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 s="3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 s="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 s="3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 s="3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 s="3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 s="3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 s="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 s="3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 s="3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 s="3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 s="3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 s="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 s="3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 s="3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 s="3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 s="3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 s="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 s="3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 s="3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 s="3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 s="3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 s="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 s="3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 s="3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 s="3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 s="3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 s="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 s="3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 s="3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 s="3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 s="3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 s="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 s="3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 s="3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 s="3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 s="3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 s="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 s="3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 s="3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 s="3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 s="3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 s="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 s="3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 s="3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 s="3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 s="3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 s="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 s="3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 s="3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 s="3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 s="3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 s="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 s="3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 s="3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 s="3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 s="3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 s="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 s="3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 s="3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 s="3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 s="3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 s="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 s="3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 s="3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 s="3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 s="3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 s="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 s="3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 s="3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 s="3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 s="3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 s="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 s="3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 s="3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 s="3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 s="3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 s="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 s="3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 s="3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 s="3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 s="3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 s="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 s="3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 s="3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 s="3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 s="3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 s="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 s="3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 s="3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 s="3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 s="3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 s="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 s="3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 s="3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 s="3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 s="3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 s="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 s="3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 s="3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 s="3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 s="3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 s="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 s="3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 s="3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 s="3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 s="3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 s="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 s="3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 s="3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 s="3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 s="3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 s="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 s="3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 s="3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 s="3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 s="3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 s="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 s="3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 s="3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 s="3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 s="3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 s="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 s="3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 s="3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 s="3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 s="3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 s="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 s="3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 s="3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 s="3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 s="3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 s="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 s="3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 s="3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 s="3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 s="3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 s="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 s="3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 s="3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 s="3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 s="3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 s="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 s="3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 s="3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 s="3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 s="3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 s="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 s="3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 s="3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 s="3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 s="3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 s="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 s="3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 s="3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 s="3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 s="3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 s="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 s="3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 s="3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 s="3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 s="3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 s="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 s="3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 s="3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 s="3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 s="3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 s="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 s="3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 s="3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 s="3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 s="3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 s="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 s="3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 s="3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 s="3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 s="3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 s="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 s="3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 s="3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 s="3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 s="3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 s="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 s="3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 s="3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 s="3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 s="3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 s="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 s="3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 s="3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 s="3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 s="3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 s="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 s="3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 s="3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 s="3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 s="3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 s="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 s="3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 s="3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 s="3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 s="3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 s="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 s="3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 s="3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 s="3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 s="3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 s="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 s="3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 s="3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 s="3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 s="3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 s="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 s="3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 s="3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 s="3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 s="3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 s="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 s="3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 s="3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 s="3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 s="3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 s="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 s="3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 s="3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 s="3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 s="3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 s="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 s="3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 s="3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 s="3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 s="3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 s="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A995" s="3"/>
      <c r="B995" s="2"/>
      <c r="C995" s="2"/>
    </row>
    <row r="996" spans="1:3" x14ac:dyDescent="0.25">
      <c r="B996" s="2"/>
      <c r="C996" s="2"/>
    </row>
    <row r="997" spans="1:3" x14ac:dyDescent="0.25">
      <c r="A997" s="3"/>
      <c r="B997" s="2"/>
      <c r="C997" s="2"/>
    </row>
    <row r="998" spans="1:3" x14ac:dyDescent="0.25">
      <c r="B998" s="2"/>
      <c r="C998" s="2"/>
    </row>
    <row r="999" spans="1:3" x14ac:dyDescent="0.25">
      <c r="A999" s="3"/>
      <c r="B999" s="2"/>
      <c r="C999" s="2"/>
    </row>
    <row r="1000" spans="1:3" x14ac:dyDescent="0.25">
      <c r="B1000" s="2"/>
      <c r="C1000" s="2"/>
    </row>
    <row r="1001" spans="1:3" x14ac:dyDescent="0.25">
      <c r="A1001" s="3"/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JednDotMax nad 1 MW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Muzik Oldrich</cp:lastModifiedBy>
  <dcterms:created xsi:type="dcterms:W3CDTF">2021-05-12T07:14:30Z</dcterms:created>
  <dcterms:modified xsi:type="dcterms:W3CDTF">2024-03-19T16:19:21Z</dcterms:modified>
</cp:coreProperties>
</file>