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sfzp-my.sharepoint.com/personal/dfloriankova_sfzp_cz/Documents/Plocha/stěžery/"/>
    </mc:Choice>
  </mc:AlternateContent>
  <xr:revisionPtr revIDLastSave="0" documentId="11_6E6D6A0DF23A7B5EEC0E2DEDD1EFB052BF5B4F99" xr6:coauthVersionLast="47" xr6:coauthVersionMax="47" xr10:uidLastSave="{00000000-0000-0000-0000-000000000000}"/>
  <workbookProtection workbookAlgorithmName="SHA-512" workbookHashValue="OBMJ0aVGN0sq2ppNtOa9oDA9sl8ULzd517rMeXHHK2zsHsZQNKwYgsYX2yuN4rT8Hxi1tJ9zsLlvCkw+oyWnJg==" workbookSaltValue="KgHNtDdYWpvk6XYFQ3mJxg==" workbookSpinCount="100000" lockStructure="1"/>
  <bookViews>
    <workbookView xWindow="30510" yWindow="165" windowWidth="21600" windowHeight="11235" tabRatio="928" activeTab="2" xr2:uid="{00000000-000D-0000-FFFF-FFFF00000000}"/>
  </bookViews>
  <sheets>
    <sheet name="Pokyny_k_vyplnění" sheetId="8" r:id="rId1"/>
    <sheet name="Popis_projektu" sheetId="10" r:id="rId2"/>
    <sheet name="Projekt#1" sheetId="3" r:id="rId3"/>
    <sheet name="zdroj#1" sheetId="5" state="hidden" r:id="rId4"/>
    <sheet name="Hodnocení#1" sheetId="6" state="hidden" r:id="rId5"/>
    <sheet name="výstup#1" sheetId="7" state="hidden" r:id="rId6"/>
  </sheets>
  <definedNames>
    <definedName name="_xlnm.Print_Area" localSheetId="4">'Hodnocení#1'!$A$1:$I$52</definedName>
    <definedName name="_xlnm.Print_Area" localSheetId="2">'Projekt#1'!$B$1:$H$283</definedName>
    <definedName name="_xlnm.Print_Area" localSheetId="5">'výstup#1'!$A$1:$C$75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5" i="3" l="1"/>
  <c r="D144" i="3"/>
  <c r="D148" i="3"/>
  <c r="C44" i="3"/>
  <c r="C41" i="3"/>
  <c r="C77" i="7"/>
  <c r="C76" i="7"/>
  <c r="B106" i="3" l="1"/>
  <c r="T50" i="5"/>
  <c r="U61" i="5" l="1"/>
  <c r="J20" i="6" l="1"/>
  <c r="H50" i="5" l="1"/>
  <c r="L48" i="5" s="1"/>
  <c r="L49" i="5" s="1"/>
  <c r="D43" i="3" l="1"/>
  <c r="D41" i="3"/>
  <c r="T18" i="5" l="1"/>
  <c r="S18" i="5" s="1"/>
  <c r="C236" i="3"/>
  <c r="C237" i="3"/>
  <c r="C238" i="3"/>
  <c r="C239" i="3"/>
  <c r="C241" i="3"/>
  <c r="C242" i="3"/>
  <c r="C243" i="3"/>
  <c r="C244" i="3"/>
  <c r="C245" i="3"/>
  <c r="C246" i="3"/>
  <c r="C247" i="3"/>
  <c r="C248" i="3"/>
  <c r="C235" i="3"/>
  <c r="B246" i="3"/>
  <c r="B247" i="3"/>
  <c r="B248" i="3"/>
  <c r="B236" i="3"/>
  <c r="B237" i="3"/>
  <c r="B238" i="3"/>
  <c r="B239" i="3"/>
  <c r="B241" i="3"/>
  <c r="B242" i="3"/>
  <c r="B243" i="3"/>
  <c r="B244" i="3"/>
  <c r="B245" i="3"/>
  <c r="B235" i="3"/>
  <c r="L57" i="5"/>
  <c r="K7" i="8"/>
  <c r="D8" i="6" s="1"/>
  <c r="T16" i="5" l="1"/>
  <c r="C21" i="7"/>
  <c r="T13" i="5" l="1"/>
  <c r="D232" i="3" s="1"/>
  <c r="F2" i="3"/>
  <c r="D3" i="6"/>
  <c r="F2" i="10"/>
  <c r="C19" i="7" l="1"/>
  <c r="J9" i="5" l="1"/>
  <c r="J8" i="5"/>
  <c r="J7" i="5"/>
  <c r="D7" i="10" l="1"/>
  <c r="F7" i="10"/>
  <c r="C7" i="10"/>
  <c r="C6" i="3"/>
  <c r="C5" i="3"/>
  <c r="D198" i="3" l="1"/>
  <c r="C13" i="7" l="1"/>
  <c r="C14" i="7"/>
  <c r="D6" i="6" l="1"/>
  <c r="D5" i="6"/>
  <c r="B72" i="5" l="1"/>
  <c r="C22" i="7" s="1"/>
  <c r="B71" i="5"/>
  <c r="A86" i="7" l="1"/>
  <c r="C81" i="7"/>
  <c r="A81" i="7"/>
  <c r="C46" i="3" l="1"/>
  <c r="C12" i="7" l="1"/>
  <c r="C63" i="7"/>
  <c r="C61" i="7"/>
  <c r="C62" i="7"/>
  <c r="C60" i="7"/>
  <c r="C59" i="7"/>
  <c r="C58" i="7"/>
  <c r="C57" i="7"/>
  <c r="C56" i="7"/>
  <c r="C53" i="7"/>
  <c r="C51" i="7"/>
  <c r="C50" i="7"/>
  <c r="C49" i="7"/>
  <c r="C48" i="7"/>
  <c r="C45" i="7"/>
  <c r="C44" i="7"/>
  <c r="C43" i="7"/>
  <c r="C42" i="7"/>
  <c r="C41" i="7"/>
  <c r="C11" i="7" l="1"/>
  <c r="C10" i="7"/>
  <c r="N53" i="5" l="1"/>
  <c r="G45" i="3" s="1"/>
  <c r="U52" i="5"/>
  <c r="U55" i="5"/>
  <c r="U54" i="5"/>
  <c r="U53" i="5"/>
  <c r="I16" i="6"/>
  <c r="C31" i="7" s="1"/>
  <c r="U60" i="5"/>
  <c r="U63" i="5" s="1"/>
  <c r="E16" i="6" l="1"/>
  <c r="D44" i="6" l="1"/>
  <c r="C26" i="7" s="1"/>
  <c r="E13" i="6"/>
  <c r="G2" i="5"/>
  <c r="A80" i="7" l="1"/>
  <c r="C38" i="7"/>
  <c r="I22" i="6"/>
  <c r="C36" i="7" s="1"/>
  <c r="C221" i="3"/>
  <c r="C222" i="3"/>
  <c r="E93" i="3"/>
  <c r="E84" i="3"/>
  <c r="E31" i="6" l="1"/>
  <c r="D248" i="3" s="1"/>
  <c r="B68" i="5" l="1"/>
  <c r="N59" i="5" l="1"/>
  <c r="N60" i="5" s="1"/>
  <c r="D142" i="3"/>
  <c r="D140" i="3" s="1"/>
  <c r="C54" i="7" l="1"/>
  <c r="C214" i="3"/>
  <c r="N61" i="5"/>
  <c r="E27" i="6" s="1"/>
  <c r="D244" i="3" s="1"/>
  <c r="C69" i="7"/>
  <c r="A13" i="5"/>
  <c r="A7" i="5"/>
  <c r="I20" i="6" l="1"/>
  <c r="C34" i="7" s="1"/>
  <c r="I21" i="6"/>
  <c r="C35" i="7" s="1"/>
  <c r="I24" i="6"/>
  <c r="I25" i="6"/>
  <c r="C66" i="7" s="1"/>
  <c r="I26" i="6"/>
  <c r="C67" i="7" s="1"/>
  <c r="I27" i="6"/>
  <c r="C68" i="7" s="1"/>
  <c r="I28" i="6"/>
  <c r="C70" i="7" s="1"/>
  <c r="I29" i="6"/>
  <c r="C72" i="7" s="1"/>
  <c r="I30" i="6"/>
  <c r="C73" i="7" s="1"/>
  <c r="I31" i="6"/>
  <c r="C74" i="7" s="1"/>
  <c r="I18" i="6"/>
  <c r="C32" i="7" s="1"/>
  <c r="I19" i="6"/>
  <c r="C33" i="7" s="1"/>
  <c r="S56" i="5"/>
  <c r="E25" i="6"/>
  <c r="K7" i="5"/>
  <c r="K9" i="5"/>
  <c r="K8" i="5"/>
  <c r="E30" i="6"/>
  <c r="D247" i="3" s="1"/>
  <c r="N52" i="5"/>
  <c r="J24" i="6" l="1"/>
  <c r="R25" i="6"/>
  <c r="D242" i="3"/>
  <c r="N7" i="5"/>
  <c r="D10" i="6" s="1"/>
  <c r="C7" i="7" s="1"/>
  <c r="N9" i="5"/>
  <c r="N8" i="5"/>
  <c r="C64" i="7"/>
  <c r="C37" i="7"/>
  <c r="I32" i="6"/>
  <c r="E26" i="6"/>
  <c r="G42" i="3"/>
  <c r="U56" i="5"/>
  <c r="E29" i="6" s="1"/>
  <c r="D246" i="3" s="1"/>
  <c r="G10" i="6" l="1"/>
  <c r="C9" i="7"/>
  <c r="R26" i="6"/>
  <c r="D243" i="3"/>
  <c r="E10" i="6"/>
  <c r="C8" i="7"/>
  <c r="C24" i="7"/>
  <c r="G32" i="6"/>
  <c r="C25" i="7"/>
  <c r="C39" i="7" s="1"/>
  <c r="D36" i="6"/>
  <c r="C220" i="3"/>
  <c r="C219" i="3"/>
  <c r="C216" i="3"/>
  <c r="C215" i="3"/>
  <c r="D143" i="3"/>
  <c r="C198" i="3"/>
  <c r="D139" i="3" l="1"/>
  <c r="N63" i="5" s="1"/>
  <c r="N64" i="5" s="1"/>
  <c r="C55" i="7"/>
  <c r="D138" i="3"/>
  <c r="A58" i="5"/>
  <c r="A59" i="5"/>
  <c r="A19" i="5"/>
  <c r="E20" i="6" s="1"/>
  <c r="E22" i="6"/>
  <c r="D239" i="3" s="1"/>
  <c r="E19" i="6"/>
  <c r="D236" i="3" s="1"/>
  <c r="E18" i="6"/>
  <c r="D237" i="3" l="1"/>
  <c r="D235" i="3"/>
  <c r="C213" i="3"/>
  <c r="C52" i="7"/>
  <c r="N65" i="5"/>
  <c r="E28" i="6" s="1"/>
  <c r="D245" i="3" s="1"/>
  <c r="C71" i="7"/>
  <c r="L53" i="5" l="1"/>
  <c r="L59" i="5"/>
  <c r="D13" i="6" s="1"/>
  <c r="E50" i="6" s="1"/>
  <c r="L54" i="5"/>
  <c r="L52" i="5"/>
  <c r="L50" i="5"/>
  <c r="L51" i="5"/>
  <c r="E50" i="5"/>
  <c r="E46" i="5"/>
  <c r="E47" i="5"/>
  <c r="E48" i="5"/>
  <c r="E49" i="5"/>
  <c r="E45" i="5"/>
  <c r="C28" i="7" l="1"/>
  <c r="A85" i="7"/>
  <c r="L58" i="5"/>
  <c r="G44" i="6" l="1"/>
  <c r="C27" i="7" s="1"/>
  <c r="G13" i="6"/>
  <c r="D160" i="3"/>
  <c r="D159" i="3"/>
  <c r="D158" i="3"/>
  <c r="G70" i="3"/>
  <c r="G69" i="3"/>
  <c r="G68" i="3"/>
  <c r="G67" i="3"/>
  <c r="H67" i="3" s="1"/>
  <c r="G66" i="3"/>
  <c r="G65" i="3"/>
  <c r="G64" i="3"/>
  <c r="G54" i="3"/>
  <c r="G60" i="3"/>
  <c r="I70" i="3" s="1"/>
  <c r="G59" i="3"/>
  <c r="G58" i="3"/>
  <c r="G57" i="3"/>
  <c r="I67" i="3" s="1"/>
  <c r="G56" i="3"/>
  <c r="G55" i="3"/>
  <c r="I68" i="3" l="1"/>
  <c r="I65" i="3"/>
  <c r="E198" i="3"/>
  <c r="C80" i="7"/>
  <c r="I69" i="3"/>
  <c r="I64" i="3"/>
  <c r="I66" i="3"/>
  <c r="F78" i="3"/>
  <c r="H68" i="3"/>
  <c r="F79" i="3"/>
  <c r="H69" i="3"/>
  <c r="E80" i="3"/>
  <c r="H60" i="3"/>
  <c r="F76" i="3"/>
  <c r="H66" i="3"/>
  <c r="F80" i="3"/>
  <c r="G80" i="3" s="1"/>
  <c r="H70" i="3"/>
  <c r="F75" i="3"/>
  <c r="H65" i="3"/>
  <c r="H64" i="3"/>
  <c r="F77" i="3"/>
  <c r="F74" i="3"/>
  <c r="E79" i="3"/>
  <c r="H59" i="3"/>
  <c r="E77" i="3"/>
  <c r="H57" i="3"/>
  <c r="K67" i="3" s="1"/>
  <c r="E78" i="3"/>
  <c r="H58" i="3"/>
  <c r="E76" i="3"/>
  <c r="H56" i="3"/>
  <c r="H55" i="3"/>
  <c r="E74" i="3"/>
  <c r="H54" i="3"/>
  <c r="E75" i="3"/>
  <c r="A61" i="5"/>
  <c r="A62" i="5"/>
  <c r="K70" i="3" l="1"/>
  <c r="A64" i="5"/>
  <c r="C65" i="7" s="1"/>
  <c r="G79" i="3"/>
  <c r="G76" i="3"/>
  <c r="G77" i="3"/>
  <c r="C47" i="7" s="1"/>
  <c r="K69" i="3"/>
  <c r="G78" i="3"/>
  <c r="G75" i="3"/>
  <c r="K64" i="3"/>
  <c r="K65" i="3"/>
  <c r="K66" i="3"/>
  <c r="K68" i="3"/>
  <c r="G74" i="3"/>
  <c r="A65" i="5"/>
  <c r="A34" i="5"/>
  <c r="A33" i="5"/>
  <c r="A32" i="5"/>
  <c r="A31" i="5"/>
  <c r="A30" i="5"/>
  <c r="A29" i="5"/>
  <c r="A28" i="5"/>
  <c r="A27" i="5"/>
  <c r="A26" i="5"/>
  <c r="A36" i="5" l="1"/>
  <c r="E21" i="6" s="1"/>
  <c r="C225" i="3"/>
  <c r="C229" i="3" s="1"/>
  <c r="C46" i="7"/>
  <c r="B59" i="5"/>
  <c r="B63" i="5"/>
  <c r="B61" i="5"/>
  <c r="B65" i="5"/>
  <c r="D238" i="3" l="1"/>
  <c r="E24" i="6"/>
  <c r="E32" i="6" l="1"/>
  <c r="D250" i="3" s="1"/>
  <c r="D34" i="6"/>
  <c r="D241" i="3"/>
  <c r="D249" i="3" s="1"/>
  <c r="B251" i="3" s="1"/>
  <c r="R24" i="6"/>
  <c r="J25" i="6" s="1"/>
  <c r="C2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Pecha Martin</author>
  </authors>
  <commentList>
    <comment ref="B39" authorId="0" shapeId="0" xr:uid="{00000000-0006-0000-0200-000001000000}">
      <text>
        <r>
          <rPr>
            <b/>
            <sz val="9"/>
            <color indexed="81"/>
            <rFont val="Tahoma"/>
            <family val="2"/>
            <charset val="238"/>
          </rPr>
          <t>věcně způsobilé náklady bez DPH a publicity</t>
        </r>
      </text>
    </comment>
    <comment ref="D41" authorId="0" shapeId="0" xr:uid="{00000000-0006-0000-0200-000002000000}">
      <text>
        <r>
          <rPr>
            <b/>
            <sz val="9"/>
            <color indexed="81"/>
            <rFont val="Tahoma"/>
            <family val="2"/>
            <charset val="238"/>
          </rPr>
          <t>celk. náklady nová ČOV/přivaděč</t>
        </r>
      </text>
    </comment>
    <comment ref="D43" authorId="0" shapeId="0" xr:uid="{00000000-0006-0000-0200-000003000000}">
      <text>
        <r>
          <rPr>
            <b/>
            <sz val="9"/>
            <color indexed="81"/>
            <rFont val="Tahoma"/>
            <family val="2"/>
            <charset val="238"/>
          </rPr>
          <t>celk. náklady rek./int. ČOV</t>
        </r>
      </text>
    </comment>
    <comment ref="D141" authorId="0" shapeId="0" xr:uid="{00000000-0006-0000-0200-000004000000}">
      <text>
        <r>
          <rPr>
            <b/>
            <sz val="10"/>
            <color indexed="81"/>
            <rFont val="Tahoma"/>
            <family val="2"/>
            <charset val="238"/>
          </rPr>
          <t xml:space="preserve">přivaděč - uvést pouze zde </t>
        </r>
        <r>
          <rPr>
            <sz val="10"/>
            <color indexed="81"/>
            <rFont val="Tahoma"/>
            <family val="2"/>
            <charset val="238"/>
          </rPr>
          <t>(náklady ani délka nevstupují do hodnocení nákladovosti kanalizace nýbrž nové ČOV)</t>
        </r>
      </text>
    </comment>
    <comment ref="E223" authorId="0" shapeId="0" xr:uid="{00000000-0006-0000-0200-000005000000}">
      <text>
        <r>
          <rPr>
            <b/>
            <sz val="10"/>
            <color indexed="81"/>
            <rFont val="Tahoma"/>
            <family val="2"/>
            <charset val="238"/>
          </rPr>
          <t>pouze pro Dešťové zdrže a Retenční nádrže</t>
        </r>
      </text>
    </comment>
    <comment ref="E224" authorId="0" shapeId="0" xr:uid="{00000000-0006-0000-0200-000006000000}">
      <text>
        <r>
          <rPr>
            <b/>
            <sz val="10"/>
            <color indexed="81"/>
            <rFont val="Tahoma"/>
            <family val="2"/>
            <charset val="238"/>
          </rPr>
          <t>pouze pro Odlehčovací komory</t>
        </r>
      </text>
    </comment>
    <comment ref="C226" authorId="0" shapeId="0" xr:uid="{00000000-0006-0000-0200-000007000000}">
      <text>
        <r>
          <rPr>
            <b/>
            <sz val="9"/>
            <color indexed="81"/>
            <rFont val="Tahoma"/>
            <family val="2"/>
            <charset val="238"/>
          </rPr>
          <t>rozčleňte efekt CHSKcr z řádku 225 dle opatření</t>
        </r>
        <r>
          <rPr>
            <sz val="9"/>
            <color indexed="81"/>
            <rFont val="Tahoma"/>
            <family val="2"/>
            <charset val="238"/>
          </rPr>
          <t xml:space="preserve">
</t>
        </r>
      </text>
    </comment>
    <comment ref="C227" authorId="0" shapeId="0" xr:uid="{00000000-0006-0000-0200-000008000000}">
      <text>
        <r>
          <rPr>
            <b/>
            <sz val="9"/>
            <color indexed="81"/>
            <rFont val="Tahoma"/>
            <family val="2"/>
            <charset val="238"/>
          </rPr>
          <t>rozčleňte efekt CHSKcr z řádku 225 dle opatření</t>
        </r>
        <r>
          <rPr>
            <sz val="9"/>
            <color indexed="81"/>
            <rFont val="Tahoma"/>
            <family val="2"/>
            <charset val="238"/>
          </rPr>
          <t xml:space="preserve">
</t>
        </r>
      </text>
    </comment>
    <comment ref="C228" authorId="0" shapeId="0" xr:uid="{00000000-0006-0000-0200-000009000000}">
      <text>
        <r>
          <rPr>
            <b/>
            <sz val="9"/>
            <color indexed="81"/>
            <rFont val="Tahoma"/>
            <family val="2"/>
            <charset val="238"/>
          </rPr>
          <t>rozčleňte efekt CHSKcr z řádku 225 dle opatření</t>
        </r>
      </text>
    </comment>
    <comment ref="D249" authorId="0" shapeId="0" xr:uid="{00000000-0006-0000-0200-00000A000000}">
      <text>
        <r>
          <rPr>
            <b/>
            <sz val="9"/>
            <color indexed="81"/>
            <rFont val="Tahoma"/>
            <family val="2"/>
            <charset val="238"/>
          </rPr>
          <t>do minimálního bodového limitu se nepočítají body za projektovou připravenost</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Pecha Martin</author>
  </authors>
  <commentList>
    <comment ref="S18" authorId="0" shapeId="0" xr:uid="{00000000-0006-0000-0300-000001000000}">
      <text>
        <r>
          <rPr>
            <b/>
            <sz val="9"/>
            <color indexed="81"/>
            <rFont val="Tahoma"/>
            <family val="2"/>
            <charset val="238"/>
          </rPr>
          <t>Pecha Martin:</t>
        </r>
        <r>
          <rPr>
            <sz val="9"/>
            <color indexed="81"/>
            <rFont val="Tahoma"/>
            <family val="2"/>
            <charset val="238"/>
          </rPr>
          <t xml:space="preserve">
1 = výzva 043 sout
2= výzva 42 nesou
3= nevybráno</t>
        </r>
      </text>
    </comment>
    <comment ref="A58" authorId="0" shapeId="0" xr:uid="{00000000-0006-0000-0300-000002000000}">
      <text>
        <r>
          <rPr>
            <b/>
            <sz val="9"/>
            <color indexed="81"/>
            <rFont val="Tahoma"/>
            <family val="2"/>
            <charset val="238"/>
          </rPr>
          <t>1=přivaděč
2=nCOV</t>
        </r>
        <r>
          <rPr>
            <sz val="9"/>
            <color indexed="81"/>
            <rFont val="Tahoma"/>
            <family val="2"/>
            <charset val="238"/>
          </rPr>
          <t xml:space="preserve">
</t>
        </r>
      </text>
    </comment>
    <comment ref="A59" authorId="0" shapeId="0" xr:uid="{00000000-0006-0000-0300-000003000000}">
      <text>
        <r>
          <rPr>
            <b/>
            <sz val="9"/>
            <color indexed="81"/>
            <rFont val="Tahoma"/>
            <family val="2"/>
            <charset val="238"/>
          </rPr>
          <t>kapacita EO př/COV</t>
        </r>
      </text>
    </comment>
    <comment ref="A61" authorId="0" shapeId="0" xr:uid="{00000000-0006-0000-0300-000004000000}">
      <text>
        <r>
          <rPr>
            <sz val="9"/>
            <color indexed="81"/>
            <rFont val="Tahoma"/>
            <family val="2"/>
            <charset val="238"/>
          </rPr>
          <t xml:space="preserve">nakl Cov/EO
</t>
        </r>
      </text>
    </comment>
    <comment ref="A62" authorId="0" shapeId="0" xr:uid="{00000000-0006-0000-0300-000005000000}">
      <text>
        <r>
          <rPr>
            <sz val="9"/>
            <color indexed="81"/>
            <rFont val="Tahoma"/>
            <family val="2"/>
            <charset val="238"/>
          </rPr>
          <t>nakl přivadec/EO</t>
        </r>
      </text>
    </comment>
    <comment ref="A64" authorId="0" shapeId="0" xr:uid="{00000000-0006-0000-0300-000006000000}">
      <text>
        <r>
          <rPr>
            <b/>
            <sz val="9"/>
            <color indexed="81"/>
            <rFont val="Tahoma"/>
            <family val="2"/>
            <charset val="238"/>
          </rPr>
          <t>nákladovost/EO</t>
        </r>
      </text>
    </comment>
    <comment ref="A65" authorId="0" shapeId="0" xr:uid="{00000000-0006-0000-0300-000007000000}">
      <text>
        <r>
          <rPr>
            <b/>
            <sz val="9"/>
            <color indexed="81"/>
            <rFont val="Tahoma"/>
            <family val="2"/>
            <charset val="238"/>
          </rPr>
          <t>určení kapacity COV/př
1 pod 500 EO
2 500-2000
3 nad 2000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Pecha Martin</author>
  </authors>
  <commentList>
    <comment ref="D7" authorId="0" shapeId="0" xr:uid="{00000000-0006-0000-0400-000001000000}">
      <text>
        <r>
          <rPr>
            <b/>
            <sz val="9"/>
            <color indexed="81"/>
            <rFont val="Tahoma"/>
            <family val="2"/>
            <charset val="238"/>
          </rPr>
          <t>vyplní HA akce</t>
        </r>
      </text>
    </comment>
    <comment ref="D39" authorId="0" shapeId="0" xr:uid="{00000000-0006-0000-0400-000002000000}">
      <text>
        <r>
          <rPr>
            <b/>
            <sz val="9"/>
            <color indexed="81"/>
            <rFont val="Tahoma"/>
            <family val="2"/>
            <charset val="238"/>
          </rPr>
          <t>Vyplní HA či HB v případě odlišného bodového hodnocení než měl žadatel v  předloženém FTP či v případě jiné potřeby. Jinak označit "bez komentáře"</t>
        </r>
        <r>
          <rPr>
            <sz val="9"/>
            <color indexed="81"/>
            <rFont val="Tahoma"/>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Pecha Martin</author>
  </authors>
  <commentList>
    <comment ref="C15" authorId="0" shapeId="0" xr:uid="{00000000-0006-0000-0500-000001000000}">
      <text>
        <r>
          <rPr>
            <b/>
            <sz val="9"/>
            <color indexed="81"/>
            <rFont val="Tahoma"/>
            <family val="2"/>
            <charset val="238"/>
          </rPr>
          <t>vybere HA dle Opatření na projektu</t>
        </r>
      </text>
    </comment>
    <comment ref="C16" authorId="0" shapeId="0" xr:uid="{00000000-0006-0000-0500-000002000000}">
      <text>
        <r>
          <rPr>
            <b/>
            <sz val="9"/>
            <color indexed="81"/>
            <rFont val="Tahoma"/>
            <family val="2"/>
            <charset val="238"/>
          </rPr>
          <t>vyplní HA dle Kumulativního rozpočtu</t>
        </r>
      </text>
    </comment>
    <comment ref="C17" authorId="0" shapeId="0" xr:uid="{00000000-0006-0000-0500-000003000000}">
      <text>
        <r>
          <rPr>
            <b/>
            <sz val="9"/>
            <color indexed="81"/>
            <rFont val="Tahoma"/>
            <family val="2"/>
            <charset val="238"/>
          </rPr>
          <t>vyplní HA dle Kumulativního rozpočtu vč PP</t>
        </r>
      </text>
    </comment>
    <comment ref="C18" authorId="0" shapeId="0" xr:uid="{00000000-0006-0000-0500-000004000000}">
      <text>
        <r>
          <rPr>
            <b/>
            <sz val="9"/>
            <color indexed="81"/>
            <rFont val="Tahoma"/>
            <family val="2"/>
            <charset val="238"/>
          </rPr>
          <t>vyplní HA dle Kumulativního rozpočtu</t>
        </r>
      </text>
    </comment>
    <comment ref="C20" authorId="0" shapeId="0" xr:uid="{00000000-0006-0000-0500-000005000000}">
      <text>
        <r>
          <rPr>
            <b/>
            <sz val="9"/>
            <color indexed="81"/>
            <rFont val="Tahoma"/>
            <family val="2"/>
            <charset val="238"/>
          </rPr>
          <t>vyplní HA dle IS MS21+</t>
        </r>
      </text>
    </comment>
    <comment ref="C31" authorId="0" shapeId="0" xr:uid="{00000000-0006-0000-0500-000006000000}">
      <text>
        <r>
          <rPr>
            <sz val="9"/>
            <color indexed="81"/>
            <rFont val="Tahoma"/>
            <family val="2"/>
            <charset val="238"/>
          </rPr>
          <t>dle HB</t>
        </r>
      </text>
    </comment>
    <comment ref="C32" authorId="0" shapeId="0" xr:uid="{00000000-0006-0000-0500-000007000000}">
      <text>
        <r>
          <rPr>
            <sz val="9"/>
            <color indexed="81"/>
            <rFont val="Tahoma"/>
            <family val="2"/>
            <charset val="238"/>
          </rPr>
          <t xml:space="preserve">
dle HB</t>
        </r>
      </text>
    </comment>
    <comment ref="C33" authorId="0" shapeId="0" xr:uid="{00000000-0006-0000-0500-000008000000}">
      <text>
        <r>
          <rPr>
            <b/>
            <sz val="9"/>
            <color indexed="81"/>
            <rFont val="Tahoma"/>
            <family val="2"/>
            <charset val="238"/>
          </rPr>
          <t>dle HB</t>
        </r>
        <r>
          <rPr>
            <sz val="9"/>
            <color indexed="81"/>
            <rFont val="Tahoma"/>
            <family val="2"/>
            <charset val="238"/>
          </rPr>
          <t xml:space="preserve">
</t>
        </r>
      </text>
    </comment>
    <comment ref="C34" authorId="0" shapeId="0" xr:uid="{00000000-0006-0000-0500-000009000000}">
      <text>
        <r>
          <rPr>
            <b/>
            <sz val="9"/>
            <color indexed="81"/>
            <rFont val="Tahoma"/>
            <family val="2"/>
            <charset val="238"/>
          </rPr>
          <t>dle HB</t>
        </r>
        <r>
          <rPr>
            <sz val="9"/>
            <color indexed="81"/>
            <rFont val="Tahoma"/>
            <family val="2"/>
            <charset val="238"/>
          </rPr>
          <t xml:space="preserve">
</t>
        </r>
      </text>
    </comment>
    <comment ref="C35" authorId="0" shapeId="0" xr:uid="{00000000-0006-0000-0500-00000A000000}">
      <text>
        <r>
          <rPr>
            <b/>
            <sz val="9"/>
            <color indexed="81"/>
            <rFont val="Tahoma"/>
            <family val="2"/>
            <charset val="238"/>
          </rPr>
          <t>dle HB</t>
        </r>
        <r>
          <rPr>
            <sz val="9"/>
            <color indexed="81"/>
            <rFont val="Tahoma"/>
            <family val="2"/>
            <charset val="238"/>
          </rPr>
          <t xml:space="preserve">
</t>
        </r>
      </text>
    </comment>
    <comment ref="C36" authorId="0" shapeId="0" xr:uid="{00000000-0006-0000-0500-00000B000000}">
      <text>
        <r>
          <rPr>
            <b/>
            <sz val="9"/>
            <color indexed="81"/>
            <rFont val="Tahoma"/>
            <family val="2"/>
            <charset val="238"/>
          </rPr>
          <t>dle HB</t>
        </r>
        <r>
          <rPr>
            <sz val="9"/>
            <color indexed="81"/>
            <rFont val="Tahoma"/>
            <family val="2"/>
            <charset val="238"/>
          </rPr>
          <t xml:space="preserve">
</t>
        </r>
      </text>
    </comment>
    <comment ref="C37" authorId="0" shapeId="0" xr:uid="{00000000-0006-0000-0500-00000C000000}">
      <text>
        <r>
          <rPr>
            <b/>
            <sz val="9"/>
            <color indexed="81"/>
            <rFont val="Tahoma"/>
            <family val="2"/>
            <charset val="238"/>
          </rPr>
          <t>dle HB</t>
        </r>
        <r>
          <rPr>
            <sz val="9"/>
            <color indexed="81"/>
            <rFont val="Tahoma"/>
            <family val="2"/>
            <charset val="238"/>
          </rPr>
          <t xml:space="preserve">
</t>
        </r>
      </text>
    </comment>
    <comment ref="C64" authorId="0" shapeId="0" xr:uid="{00000000-0006-0000-0500-00000D000000}">
      <text>
        <r>
          <rPr>
            <sz val="9"/>
            <color indexed="81"/>
            <rFont val="Tahoma"/>
            <family val="2"/>
            <charset val="238"/>
          </rPr>
          <t xml:space="preserve">dle HB
</t>
        </r>
      </text>
    </comment>
    <comment ref="C66" authorId="0" shapeId="0" xr:uid="{00000000-0006-0000-0500-00000E000000}">
      <text>
        <r>
          <rPr>
            <b/>
            <sz val="9"/>
            <color indexed="81"/>
            <rFont val="Tahoma"/>
            <family val="2"/>
            <charset val="238"/>
          </rPr>
          <t>dle HB</t>
        </r>
        <r>
          <rPr>
            <sz val="9"/>
            <color indexed="81"/>
            <rFont val="Tahoma"/>
            <family val="2"/>
            <charset val="238"/>
          </rPr>
          <t xml:space="preserve">
</t>
        </r>
      </text>
    </comment>
    <comment ref="C68" authorId="0" shapeId="0" xr:uid="{00000000-0006-0000-0500-00000F000000}">
      <text>
        <r>
          <rPr>
            <b/>
            <sz val="9"/>
            <color indexed="81"/>
            <rFont val="Tahoma"/>
            <family val="2"/>
            <charset val="238"/>
          </rPr>
          <t xml:space="preserve">dle HB
</t>
        </r>
        <r>
          <rPr>
            <sz val="9"/>
            <color indexed="81"/>
            <rFont val="Tahoma"/>
            <family val="2"/>
            <charset val="238"/>
          </rPr>
          <t xml:space="preserve">
</t>
        </r>
      </text>
    </comment>
    <comment ref="C70" authorId="0" shapeId="0" xr:uid="{00000000-0006-0000-0500-000010000000}">
      <text>
        <r>
          <rPr>
            <b/>
            <sz val="9"/>
            <color indexed="81"/>
            <rFont val="Tahoma"/>
            <family val="2"/>
            <charset val="238"/>
          </rPr>
          <t xml:space="preserve">dle HB
</t>
        </r>
      </text>
    </comment>
    <comment ref="C72" authorId="0" shapeId="0" xr:uid="{00000000-0006-0000-0500-000011000000}">
      <text>
        <r>
          <rPr>
            <b/>
            <sz val="9"/>
            <color indexed="81"/>
            <rFont val="Tahoma"/>
            <family val="2"/>
            <charset val="238"/>
          </rPr>
          <t>dle HB</t>
        </r>
      </text>
    </comment>
    <comment ref="C73" authorId="0" shapeId="0" xr:uid="{00000000-0006-0000-0500-000012000000}">
      <text>
        <r>
          <rPr>
            <b/>
            <sz val="9"/>
            <color indexed="81"/>
            <rFont val="Tahoma"/>
            <family val="2"/>
            <charset val="238"/>
          </rPr>
          <t>Pecha Martin:</t>
        </r>
        <r>
          <rPr>
            <sz val="9"/>
            <color indexed="81"/>
            <rFont val="Tahoma"/>
            <family val="2"/>
            <charset val="238"/>
          </rPr>
          <t xml:space="preserve">
dle HB</t>
        </r>
      </text>
    </comment>
    <comment ref="C75" authorId="0" shapeId="0" xr:uid="{00000000-0006-0000-0500-000013000000}">
      <text>
        <r>
          <rPr>
            <b/>
            <sz val="9"/>
            <color indexed="81"/>
            <rFont val="Tahoma"/>
            <family val="2"/>
            <charset val="238"/>
          </rPr>
          <t>vyplní HA dle relevance</t>
        </r>
      </text>
    </comment>
  </commentList>
</comments>
</file>

<file path=xl/sharedStrings.xml><?xml version="1.0" encoding="utf-8"?>
<sst xmlns="http://schemas.openxmlformats.org/spreadsheetml/2006/main" count="680" uniqueCount="463">
  <si>
    <t>vyber aglomeraci</t>
  </si>
  <si>
    <t>aglomerace pod 2 000 EO</t>
  </si>
  <si>
    <t>aglomerace nad 10 000 EO</t>
  </si>
  <si>
    <t>aglomerace 2 000 - 10 000 EO</t>
  </si>
  <si>
    <t>typ listu opatření A</t>
  </si>
  <si>
    <t>typ  listu opatření B v povodí vodní nádrže</t>
  </si>
  <si>
    <t>typ  listu opatření B</t>
  </si>
  <si>
    <t>ostatní (není uveno)</t>
  </si>
  <si>
    <t>vyber soulad s plánováním</t>
  </si>
  <si>
    <t>Vliv opatření na stav vodního útvaru</t>
  </si>
  <si>
    <t>vyber opatření</t>
  </si>
  <si>
    <t>vyber výustě/přepojení ČOV</t>
  </si>
  <si>
    <t>Irelevantní</t>
  </si>
  <si>
    <t>Projekty zajišťující ochranu zdrojů pitné vody pro veřejné zásobování pro více než 10 000 obyvatel (relevantní jen pro vyhlášené ochranné pásmo 1. nebo 2. stupně)</t>
  </si>
  <si>
    <t>Projekty zajišťující ochranu ostatních zdrojů pitné vody pro veřejné zásobování pro více než 50 obyvatel, minerálních vod a léčivých minerálních vod (relevantní jen pro vyhlášené ochranné pásmo 1. nebo 2. stupně)</t>
  </si>
  <si>
    <t xml:space="preserve">Projekty zajišťující ochranu zvláště cenných území  NP a CHKO </t>
  </si>
  <si>
    <t>Projekty zajišťující ochranu zvláště cenných území NATURA 2000</t>
  </si>
  <si>
    <t>Projekty zajišťující ochranu lososových vod</t>
  </si>
  <si>
    <t>Projekty zajišťující ochranu kaprových vod</t>
  </si>
  <si>
    <t>Projekty zajišťující ochranu vod na koupání</t>
  </si>
  <si>
    <t>Projekty zajišťující ochranu CHOPAV</t>
  </si>
  <si>
    <t>Projekty zajišťující ochranu ostatních vodních toků</t>
  </si>
  <si>
    <t>Pitná voda na 10 000</t>
  </si>
  <si>
    <t>1 001 EO a více</t>
  </si>
  <si>
    <t>101 - 300 EO</t>
  </si>
  <si>
    <t>100 EO a méně</t>
  </si>
  <si>
    <t>501 - 1 000 EO</t>
  </si>
  <si>
    <t>vyber znečištění navíc</t>
  </si>
  <si>
    <t>1.4.2 Intenzifikace čistíren odpadních vod za účelem zvýšeného odstraňování specifického znečištění</t>
  </si>
  <si>
    <t>1.4.3 Opatření omezující vypouštění odpadních vod z odlehčení na kanalizaci (akumulační nádrže, retenční nádrže, chemické předčištění apod.)</t>
  </si>
  <si>
    <t>** přepojení stávající ČOV na jinou s vyšší kapacitou = int. ČOV</t>
  </si>
  <si>
    <t>*přivaděč =  kanalizace od poslední spojné šachty kanalizačních řadů nebo ČS výtlaku na ČOV situovanou v katastru jiné obce</t>
  </si>
  <si>
    <t>Látka</t>
  </si>
  <si>
    <t>Označení</t>
  </si>
  <si>
    <t>Přítok                    (t/rok)</t>
  </si>
  <si>
    <t>Odtok                    (t/rok)</t>
  </si>
  <si>
    <t>Odstraňováno (t/rok)</t>
  </si>
  <si>
    <t>Nerozpuštěné látky</t>
  </si>
  <si>
    <t>NL</t>
  </si>
  <si>
    <t>Biochemická spotřeba kyslíku za 5 dní</t>
  </si>
  <si>
    <t>Chem. spotř. kyslíku, Cr-metoda</t>
  </si>
  <si>
    <t>Celkový fosfor</t>
  </si>
  <si>
    <t>Amoniakální dusík</t>
  </si>
  <si>
    <t>Celkový dusík</t>
  </si>
  <si>
    <t xml:space="preserve">TOC </t>
  </si>
  <si>
    <t>Současný stav</t>
  </si>
  <si>
    <t>Stav po realizaci projektu</t>
  </si>
  <si>
    <t>Odstraňováno navíc (současný stav x po realizaci)</t>
  </si>
  <si>
    <t>Odstraňováno navíc (t/rok)</t>
  </si>
  <si>
    <t>Odstraňováno současnost</t>
  </si>
  <si>
    <t>Odstraňováno po realizaci</t>
  </si>
  <si>
    <t>Počet obyvatel obce ( současný stav )</t>
  </si>
  <si>
    <t>Kapacita budované ČOV (EO)</t>
  </si>
  <si>
    <t>Kapacita budované ČOV (m3/den)</t>
  </si>
  <si>
    <t>Znečištění odváděné na ČOV po realizaci (EO)</t>
  </si>
  <si>
    <t>Počet rekonstruovaných ČOV</t>
  </si>
  <si>
    <t xml:space="preserve">Počet budovaných ČOV </t>
  </si>
  <si>
    <t>Současná kapacita ČOV (EO)</t>
  </si>
  <si>
    <t>Současná kapacita ČOV (m3/den)</t>
  </si>
  <si>
    <t>Kapacita ČOV po realizaci (EO)</t>
  </si>
  <si>
    <t>Kapacita ČOV po realizaci (m3/den)</t>
  </si>
  <si>
    <t>Znečištění odváděné na ČOV nyní (EO)</t>
  </si>
  <si>
    <t>Přípojky gravitační (m)</t>
  </si>
  <si>
    <t>Přípojky tlakové (m)</t>
  </si>
  <si>
    <t>Přípojky podtlakové (m)</t>
  </si>
  <si>
    <t>Délka nově budovaných přípojek (m)</t>
  </si>
  <si>
    <t>v žádosti</t>
  </si>
  <si>
    <t>Přehled přípojek dle ÚR / SP</t>
  </si>
  <si>
    <t>dle ÚR nebo SP</t>
  </si>
  <si>
    <t>celkem</t>
  </si>
  <si>
    <t>Odlehčovací komora</t>
  </si>
  <si>
    <t>Retenční nádrž</t>
  </si>
  <si>
    <t>kapacita (m3)</t>
  </si>
  <si>
    <t>Jiné…</t>
  </si>
  <si>
    <t>počet nové</t>
  </si>
  <si>
    <t>počet rekon.</t>
  </si>
  <si>
    <t>Formulář technických parametrů - Specifický cíl 1.4 - Odpadní voda</t>
  </si>
  <si>
    <t>Ekologická relevance</t>
  </si>
  <si>
    <t>Technická kvalita</t>
  </si>
  <si>
    <t>Název projektu</t>
  </si>
  <si>
    <t>Žadatel</t>
  </si>
  <si>
    <t>Investiční podpora na energeticky účinné dálkové vytápění a chlazení (článek 46)</t>
  </si>
  <si>
    <t>Investiční podpora na recyklaci a opětovné využití odpadu (článek 47)</t>
  </si>
  <si>
    <t>Investiční podpora na sanaci kontaminovaných lokalit (článek 45)</t>
  </si>
  <si>
    <t>Investiční podpora na vysokoúčinnou kombinovanou výrobu tepla a elektrické energie (článek 40)</t>
  </si>
  <si>
    <t>Investiční podpora pro malé a střední podniky (článek 17)</t>
  </si>
  <si>
    <t>Podpora dle nařízení Komise (EU)  č. 360/2012</t>
  </si>
  <si>
    <t>Podpora dle nařízení Komise (EU) č. 1407/2013 (de minimis)</t>
  </si>
  <si>
    <t>Podpora na ekologické studie (článek 49)</t>
  </si>
  <si>
    <t>Podpora na včasné přizpůsobení se normám Unie (článek 37)</t>
  </si>
  <si>
    <t>Podpora pro podniky, které dosáhnou vyšší úrovně ochrany životního prostředí nad rámec norem EU nebo na zvýšení ochrany životního prostředí v případě absence norem EU (článek 36)</t>
  </si>
  <si>
    <t>Regionální investiční podpora (článek 14)</t>
  </si>
  <si>
    <t>Pitná nad 50 minerálky</t>
  </si>
  <si>
    <t>Vyberte VP</t>
  </si>
  <si>
    <t>Nepodléhá VP</t>
  </si>
  <si>
    <t>Opatření</t>
  </si>
  <si>
    <t>Výzva</t>
  </si>
  <si>
    <t>Pouze kanalizace</t>
  </si>
  <si>
    <t>Kanalizace a ČOV</t>
  </si>
  <si>
    <t>Nová ČOV</t>
  </si>
  <si>
    <t>Int. / rek. ČOV</t>
  </si>
  <si>
    <t>Kanalizace a přivaděč</t>
  </si>
  <si>
    <t>SP kanalizace</t>
  </si>
  <si>
    <t>SP kanalizace + vodovod</t>
  </si>
  <si>
    <t>SP ostatní kombinace</t>
  </si>
  <si>
    <t>Úpravny vod, zdroje</t>
  </si>
  <si>
    <t>Pouze vodovod</t>
  </si>
  <si>
    <t>1.4.1.</t>
  </si>
  <si>
    <t>1.4.3.</t>
  </si>
  <si>
    <t>1.4.2.</t>
  </si>
  <si>
    <t>Vodovod, úprava, zdroje</t>
  </si>
  <si>
    <t>Hodnotitel "A"</t>
  </si>
  <si>
    <t>Schvalovatel</t>
  </si>
  <si>
    <t>Floriánková</t>
  </si>
  <si>
    <t>Vráblíková</t>
  </si>
  <si>
    <t>Kaislerová</t>
  </si>
  <si>
    <t>Koldová</t>
  </si>
  <si>
    <t>Organiščák</t>
  </si>
  <si>
    <t>Kozlová</t>
  </si>
  <si>
    <t>Audolenský</t>
  </si>
  <si>
    <t>Bolek</t>
  </si>
  <si>
    <t>Boušková</t>
  </si>
  <si>
    <t>Daňková</t>
  </si>
  <si>
    <t>Diviš</t>
  </si>
  <si>
    <t>Frýbertová</t>
  </si>
  <si>
    <t>Hamáček</t>
  </si>
  <si>
    <t>Horejšová</t>
  </si>
  <si>
    <t>Hradec</t>
  </si>
  <si>
    <t>Chadimová</t>
  </si>
  <si>
    <t>Javůrková</t>
  </si>
  <si>
    <t>Kadlecová</t>
  </si>
  <si>
    <t>Kazíková</t>
  </si>
  <si>
    <t>Krátká</t>
  </si>
  <si>
    <t>Krumbholcová</t>
  </si>
  <si>
    <t>Molnár</t>
  </si>
  <si>
    <t>Nováková</t>
  </si>
  <si>
    <t>Pecha</t>
  </si>
  <si>
    <t>Pišová</t>
  </si>
  <si>
    <t>Pleštilová</t>
  </si>
  <si>
    <t>Růžička</t>
  </si>
  <si>
    <t>Šaldová</t>
  </si>
  <si>
    <t>Šrail</t>
  </si>
  <si>
    <t>Šťastná</t>
  </si>
  <si>
    <t>Schlesingerová</t>
  </si>
  <si>
    <t>Vyber PM/VPM</t>
  </si>
  <si>
    <t>** Výpočet EO musí vycházet z počtu trvale bydlících obyvatel. V případě obcí nacházejících se na území Národních parků lze do EO zahrnout i dočasně bydlící obyvatele (např. rekreanty)</t>
  </si>
  <si>
    <t>Odvedené znečištění novou kanalizací ** (EO)</t>
  </si>
  <si>
    <t>* Pouze pro ČOV s kapacitou nad 100 000 EO</t>
  </si>
  <si>
    <t>Reg. číslo projektu</t>
  </si>
  <si>
    <t>Specifický cíl</t>
  </si>
  <si>
    <t>Hodnotitel "B"</t>
  </si>
  <si>
    <t>H "A"</t>
  </si>
  <si>
    <t>H "B"</t>
  </si>
  <si>
    <t>Body - možnosti</t>
  </si>
  <si>
    <t>PP</t>
  </si>
  <si>
    <t>EKOLOGIE</t>
  </si>
  <si>
    <t>TECHNICKÁ KVALITA</t>
  </si>
  <si>
    <t>15 / 12 / 8 / 5 / 2 / 1</t>
  </si>
  <si>
    <t>5 / 2 / 0 = zamítnutí</t>
  </si>
  <si>
    <t>Souhrnné kritérium k projektu - technicky nedořešen</t>
  </si>
  <si>
    <t>5 / 0 = zamítnutí</t>
  </si>
  <si>
    <t>PPA</t>
  </si>
  <si>
    <t>PPB</t>
  </si>
  <si>
    <t>Soulad s plánováním v oblasti vod</t>
  </si>
  <si>
    <t>10 / 8 / 5 / 1</t>
  </si>
  <si>
    <t>8 / 5 / 3 / 1</t>
  </si>
  <si>
    <t>Chráněná území - zlepšení jakosti vod</t>
  </si>
  <si>
    <t>Velikost řešeného zdroje znečištění</t>
  </si>
  <si>
    <t>15 / 10 / 5</t>
  </si>
  <si>
    <t>7 / 5 / 4 / 3 / 2 / 1</t>
  </si>
  <si>
    <t>10 / 7 / 5 / 3 / 1</t>
  </si>
  <si>
    <t>10 / 7 / 5 / 1</t>
  </si>
  <si>
    <t>ČOV rek./int. - kvalita řešení</t>
  </si>
  <si>
    <t>ČOV rek./int. - náklady</t>
  </si>
  <si>
    <t>Kanalizace - nákladovost Kč/EO</t>
  </si>
  <si>
    <t>Kanalizace - nákladovost Kč/1bm</t>
  </si>
  <si>
    <t>Dešťové zdrže / OK - kvalita řešení</t>
  </si>
  <si>
    <t>Dešťové zdrže / OK - náklady</t>
  </si>
  <si>
    <t>5 / 3 / 2 / 0 = zamítnutí</t>
  </si>
  <si>
    <t>3 / 0 = zamítnutí</t>
  </si>
  <si>
    <t>2 / 1 / 0 = zamítnutí</t>
  </si>
  <si>
    <t>Odvedené znečištění přivaděčem ** (EO)</t>
  </si>
  <si>
    <t>nCOV/př &gt;2001EO</t>
  </si>
  <si>
    <t>nCOV/př &gt;=500 a =&lt;2000</t>
  </si>
  <si>
    <t>nCOV/př&lt;500</t>
  </si>
  <si>
    <t>Nová ČOV / přivaděč* - technologie</t>
  </si>
  <si>
    <t>Nová ČOV / přivaděč* - stavební část</t>
  </si>
  <si>
    <t>Rek. / int. ČOV** - technologie</t>
  </si>
  <si>
    <t>Rek. / int. ČOV** - stavební část</t>
  </si>
  <si>
    <t>Kanalizace vč. OK, ČS</t>
  </si>
  <si>
    <t>Ostatní objekty na síti (retenční nádrže, dešťové zdrže, odlehčovací komory...)</t>
  </si>
  <si>
    <t>skrýt</t>
  </si>
  <si>
    <t>Jednotka</t>
  </si>
  <si>
    <t>Hodnota</t>
  </si>
  <si>
    <t>km</t>
  </si>
  <si>
    <t>EO</t>
  </si>
  <si>
    <t>t/rok</t>
  </si>
  <si>
    <t>1.4.1</t>
  </si>
  <si>
    <t>1.4.2</t>
  </si>
  <si>
    <t>1.4.3</t>
  </si>
  <si>
    <r>
      <t>Podíl odpadních vod z průmyslu (látkové zatížení - průměrný údaj pro ukazatele CHSK</t>
    </r>
    <r>
      <rPr>
        <vertAlign val="subscript"/>
        <sz val="11"/>
        <rFont val="Calibri"/>
        <family val="2"/>
        <charset val="238"/>
        <scheme val="minor"/>
      </rPr>
      <t>Cr</t>
    </r>
    <r>
      <rPr>
        <sz val="11"/>
        <rFont val="Calibri"/>
        <family val="2"/>
        <charset val="238"/>
        <scheme val="minor"/>
      </rPr>
      <t>, BSK</t>
    </r>
    <r>
      <rPr>
        <vertAlign val="subscript"/>
        <sz val="11"/>
        <rFont val="Calibri"/>
        <family val="2"/>
        <charset val="238"/>
        <scheme val="minor"/>
      </rPr>
      <t>5</t>
    </r>
    <r>
      <rPr>
        <sz val="11"/>
        <rFont val="Calibri"/>
        <family val="2"/>
        <charset val="238"/>
        <scheme val="minor"/>
      </rPr>
      <t>, NL, N</t>
    </r>
    <r>
      <rPr>
        <vertAlign val="subscript"/>
        <sz val="11"/>
        <rFont val="Calibri"/>
        <family val="2"/>
        <charset val="238"/>
        <scheme val="minor"/>
      </rPr>
      <t>celk</t>
    </r>
    <r>
      <rPr>
        <sz val="11"/>
        <rFont val="Calibri"/>
        <family val="2"/>
        <charset val="238"/>
        <scheme val="minor"/>
      </rPr>
      <t>) – výpočet doložit samostatnou přílohou a zároveň uvést údaje o dalších ukazatelích znečištění specifikujících daný charakter průmyslové odpadní vody (%)</t>
    </r>
  </si>
  <si>
    <r>
      <t>Podíl odpadních vod z průmyslu (látkové zatížení -průměrný údaj pro ukazatele CHSK</t>
    </r>
    <r>
      <rPr>
        <vertAlign val="subscript"/>
        <sz val="11"/>
        <rFont val="Calibri"/>
        <family val="2"/>
        <charset val="238"/>
        <scheme val="minor"/>
      </rPr>
      <t>Cr</t>
    </r>
    <r>
      <rPr>
        <sz val="11"/>
        <rFont val="Calibri"/>
        <family val="2"/>
        <charset val="238"/>
        <scheme val="minor"/>
      </rPr>
      <t>, BSK</t>
    </r>
    <r>
      <rPr>
        <vertAlign val="subscript"/>
        <sz val="11"/>
        <rFont val="Calibri"/>
        <family val="2"/>
        <charset val="238"/>
        <scheme val="minor"/>
      </rPr>
      <t>5</t>
    </r>
    <r>
      <rPr>
        <sz val="11"/>
        <rFont val="Calibri"/>
        <family val="2"/>
        <charset val="238"/>
        <scheme val="minor"/>
      </rPr>
      <t>, NL, N</t>
    </r>
    <r>
      <rPr>
        <vertAlign val="subscript"/>
        <sz val="11"/>
        <rFont val="Calibri"/>
        <family val="2"/>
        <charset val="238"/>
        <scheme val="minor"/>
      </rPr>
      <t>celk</t>
    </r>
    <r>
      <rPr>
        <sz val="11"/>
        <rFont val="Calibri"/>
        <family val="2"/>
        <charset val="238"/>
        <scheme val="minor"/>
      </rPr>
      <t>) – výpočet doložit samostatnou přílohou a zároveň uvést údaje o dalších ukazatelích znečištění specifikujících daný charakter průmyslové odpadní vody (%)</t>
    </r>
  </si>
  <si>
    <r>
      <t>BSK</t>
    </r>
    <r>
      <rPr>
        <vertAlign val="subscript"/>
        <sz val="11"/>
        <rFont val="Calibri"/>
        <family val="2"/>
        <charset val="238"/>
        <scheme val="minor"/>
      </rPr>
      <t>5</t>
    </r>
  </si>
  <si>
    <r>
      <t>CHSK</t>
    </r>
    <r>
      <rPr>
        <vertAlign val="subscript"/>
        <sz val="11"/>
        <rFont val="Calibri"/>
        <family val="2"/>
        <charset val="238"/>
        <scheme val="minor"/>
      </rPr>
      <t>Cr</t>
    </r>
  </si>
  <si>
    <r>
      <t xml:space="preserve">P </t>
    </r>
    <r>
      <rPr>
        <vertAlign val="subscript"/>
        <sz val="11"/>
        <rFont val="Calibri"/>
        <family val="2"/>
        <charset val="238"/>
        <scheme val="minor"/>
      </rPr>
      <t>celk.</t>
    </r>
  </si>
  <si>
    <r>
      <t>N-NH</t>
    </r>
    <r>
      <rPr>
        <vertAlign val="superscript"/>
        <sz val="11"/>
        <rFont val="Calibri"/>
        <family val="2"/>
        <charset val="238"/>
        <scheme val="minor"/>
      </rPr>
      <t>4+</t>
    </r>
  </si>
  <si>
    <r>
      <t xml:space="preserve">N </t>
    </r>
    <r>
      <rPr>
        <vertAlign val="subscript"/>
        <sz val="11"/>
        <rFont val="Calibri"/>
        <family val="2"/>
        <charset val="238"/>
        <scheme val="minor"/>
      </rPr>
      <t>celk.</t>
    </r>
  </si>
  <si>
    <r>
      <t>Celkový organický uhlík</t>
    </r>
    <r>
      <rPr>
        <vertAlign val="superscript"/>
        <sz val="11"/>
        <rFont val="Calibri"/>
        <family val="2"/>
        <charset val="238"/>
        <scheme val="minor"/>
      </rPr>
      <t>*</t>
    </r>
  </si>
  <si>
    <r>
      <t>Látka CHSK</t>
    </r>
    <r>
      <rPr>
        <b/>
        <vertAlign val="subscript"/>
        <sz val="11"/>
        <rFont val="Calibri"/>
        <family val="2"/>
        <charset val="238"/>
        <scheme val="minor"/>
      </rPr>
      <t>Cr</t>
    </r>
    <r>
      <rPr>
        <b/>
        <sz val="11"/>
        <rFont val="Calibri"/>
        <family val="2"/>
        <charset val="238"/>
        <scheme val="minor"/>
      </rPr>
      <t xml:space="preserve"> povinné vždy, ostatní dle relevance</t>
    </r>
  </si>
  <si>
    <r>
      <t xml:space="preserve">Délka nově budovaných řadů </t>
    </r>
    <r>
      <rPr>
        <b/>
        <sz val="11"/>
        <rFont val="Calibri"/>
        <family val="2"/>
        <charset val="238"/>
        <scheme val="minor"/>
      </rPr>
      <t>bez přivaděče</t>
    </r>
    <r>
      <rPr>
        <sz val="11"/>
        <rFont val="Calibri"/>
        <family val="2"/>
        <charset val="238"/>
        <scheme val="minor"/>
      </rPr>
      <t xml:space="preserve"> (m)</t>
    </r>
  </si>
  <si>
    <t>OK</t>
  </si>
  <si>
    <t>DZ</t>
  </si>
  <si>
    <t>RN</t>
  </si>
  <si>
    <t>Počet vybudovaných záchytných nádrží</t>
  </si>
  <si>
    <t>Objem akumulačních nádrží</t>
  </si>
  <si>
    <t>ks</t>
  </si>
  <si>
    <t>m3</t>
  </si>
  <si>
    <t>m3/rok</t>
  </si>
  <si>
    <t>Počet obyvatel obce - dle Územního plánu ve výhledu max. 10 let</t>
  </si>
  <si>
    <t>Počet obyvatel obce -  současný stav</t>
  </si>
  <si>
    <t>Indikátor</t>
  </si>
  <si>
    <t>Délka kanalizačních řadů</t>
  </si>
  <si>
    <t>Vyber</t>
  </si>
  <si>
    <t>Nákladovost rek./ int. ČOV</t>
  </si>
  <si>
    <t>Nákladovost RN/DZ/OK</t>
  </si>
  <si>
    <t>Vyber nákladovost</t>
  </si>
  <si>
    <t>Odpovídá obvyklým cenám</t>
  </si>
  <si>
    <t>Překračuje obvyklé ceny a neodůvodněno řešením</t>
  </si>
  <si>
    <t>nákl Cov</t>
  </si>
  <si>
    <t>nákl DZ/OK…</t>
  </si>
  <si>
    <t xml:space="preserve">Opatření </t>
  </si>
  <si>
    <t>vybete Opatření #1</t>
  </si>
  <si>
    <t>Vyber kvalitu řešení rek. / int. ČOV</t>
  </si>
  <si>
    <t>Kvalita řešení - technické opatření</t>
  </si>
  <si>
    <t>Technické opatření řeší danou problematiku odpovídajícím způsobem?</t>
  </si>
  <si>
    <t>ostatní</t>
  </si>
  <si>
    <r>
      <t xml:space="preserve">Kvalita navrženého řešení rek. / int. ČOV </t>
    </r>
    <r>
      <rPr>
        <i/>
        <sz val="11"/>
        <color theme="1"/>
        <rFont val="Calibri"/>
        <family val="2"/>
        <charset val="238"/>
        <scheme val="minor"/>
      </rPr>
      <t>- je relevantní pro 1.4.2</t>
    </r>
  </si>
  <si>
    <t>lze přidat řádky…</t>
  </si>
  <si>
    <t>kč/EO</t>
  </si>
  <si>
    <t>Kč/bm</t>
  </si>
  <si>
    <t>Nová ČOV/přivaděč - nákladová efektivnost Kč/EO</t>
  </si>
  <si>
    <t>HA</t>
  </si>
  <si>
    <t>HB</t>
  </si>
  <si>
    <t>SCH</t>
  </si>
  <si>
    <r>
      <t xml:space="preserve">Parametry nové ČOV </t>
    </r>
    <r>
      <rPr>
        <sz val="12"/>
        <color theme="1"/>
        <rFont val="Calibri"/>
        <family val="2"/>
        <charset val="238"/>
        <scheme val="minor"/>
      </rPr>
      <t>-</t>
    </r>
    <r>
      <rPr>
        <i/>
        <sz val="12"/>
        <color theme="1"/>
        <rFont val="Calibri"/>
        <family val="2"/>
        <charset val="238"/>
        <scheme val="minor"/>
      </rPr>
      <t xml:space="preserve"> relevantní pro 1.4.1</t>
    </r>
  </si>
  <si>
    <r>
      <t xml:space="preserve">Parametry rek. / int. ČOV </t>
    </r>
    <r>
      <rPr>
        <sz val="12"/>
        <color theme="1"/>
        <rFont val="Calibri"/>
        <family val="2"/>
        <charset val="238"/>
        <scheme val="minor"/>
      </rPr>
      <t xml:space="preserve">- </t>
    </r>
    <r>
      <rPr>
        <i/>
        <sz val="12"/>
        <color theme="1"/>
        <rFont val="Calibri"/>
        <family val="2"/>
        <charset val="238"/>
        <scheme val="minor"/>
      </rPr>
      <t>relevantní pro 1.4.2</t>
    </r>
  </si>
  <si>
    <r>
      <t xml:space="preserve">Objekty na síti </t>
    </r>
    <r>
      <rPr>
        <i/>
        <sz val="12"/>
        <color theme="1"/>
        <rFont val="Calibri"/>
        <family val="2"/>
        <charset val="238"/>
        <scheme val="minor"/>
      </rPr>
      <t>- relevantní pro 1.4.3</t>
    </r>
  </si>
  <si>
    <r>
      <t xml:space="preserve">Parametry kanalizace </t>
    </r>
    <r>
      <rPr>
        <sz val="12"/>
        <color theme="1"/>
        <rFont val="Calibri"/>
        <family val="2"/>
        <charset val="238"/>
        <scheme val="minor"/>
      </rPr>
      <t xml:space="preserve">- </t>
    </r>
    <r>
      <rPr>
        <i/>
        <sz val="12"/>
        <color theme="1"/>
        <rFont val="Calibri"/>
        <family val="2"/>
        <charset val="238"/>
        <scheme val="minor"/>
      </rPr>
      <t>relevantní pro 1.4.1</t>
    </r>
  </si>
  <si>
    <t>301 - 500 EO</t>
  </si>
  <si>
    <t>Překračuje obvyklé ceny, ale náležitě odůvodněno řešením</t>
  </si>
  <si>
    <t>Opatření řeší problematiku ČOV a zároveň plní úroveň BAT nebo doplňuje technologii o oddělené srážení fosforu nebo doplňuje technologii o simultánní srážení fosforu u ČOV do 2000EO</t>
  </si>
  <si>
    <t>Opatření řeší problematiku ČOV, ale neplní úroveň BAT a projekt řeší u Čov nad 2000 EO doplnění technologie odstraňování fosforu</t>
  </si>
  <si>
    <t>Opatření řeší problematiku ČOV, ale neplní úroveň BAT a zároveň nedoplňuje technologii na odstraňování fosforu</t>
  </si>
  <si>
    <r>
      <t xml:space="preserve">Identifikace projektu </t>
    </r>
    <r>
      <rPr>
        <i/>
        <sz val="12"/>
        <rFont val="Calibri"/>
        <family val="2"/>
        <charset val="238"/>
        <scheme val="minor"/>
      </rPr>
      <t>- povinné</t>
    </r>
  </si>
  <si>
    <r>
      <t>Aglomerace (dle PRVKUK)</t>
    </r>
    <r>
      <rPr>
        <i/>
        <sz val="12"/>
        <color theme="1"/>
        <rFont val="Calibri"/>
        <family val="2"/>
        <charset val="238"/>
        <scheme val="minor"/>
      </rPr>
      <t xml:space="preserve"> - povinné</t>
    </r>
  </si>
  <si>
    <r>
      <t xml:space="preserve">Soulad s plánováním v oblasti vod (dle vyjádření příslušného státního podniku Povodí) </t>
    </r>
    <r>
      <rPr>
        <i/>
        <sz val="12"/>
        <color theme="1"/>
        <rFont val="Calibri"/>
        <family val="2"/>
        <charset val="238"/>
        <scheme val="minor"/>
      </rPr>
      <t>- povinné</t>
    </r>
  </si>
  <si>
    <r>
      <t>Vliv opatření na stav vodního útvaru</t>
    </r>
    <r>
      <rPr>
        <i/>
        <sz val="12"/>
        <color theme="1"/>
        <rFont val="Calibri"/>
        <family val="2"/>
        <charset val="238"/>
        <scheme val="minor"/>
      </rPr>
      <t xml:space="preserve"> - povinné</t>
    </r>
  </si>
  <si>
    <r>
      <t>Velikost řešeného množství znečištění navíc</t>
    </r>
    <r>
      <rPr>
        <i/>
        <sz val="12"/>
        <color theme="1"/>
        <rFont val="Calibri"/>
        <family val="2"/>
        <charset val="238"/>
        <scheme val="minor"/>
      </rPr>
      <t xml:space="preserve"> - povinné pro 1.4.1 a 1.4.3, pro 1.4.2 je-li relevantní</t>
    </r>
  </si>
  <si>
    <r>
      <t xml:space="preserve">Náklady (bez DPH) </t>
    </r>
    <r>
      <rPr>
        <i/>
        <sz val="12"/>
        <color theme="1"/>
        <rFont val="Calibri"/>
        <family val="2"/>
        <charset val="238"/>
        <scheme val="minor"/>
      </rPr>
      <t>- povinné dle typu opatření</t>
    </r>
  </si>
  <si>
    <r>
      <t>Opatření projektu</t>
    </r>
    <r>
      <rPr>
        <sz val="12"/>
        <color indexed="8"/>
        <rFont val="Calibri"/>
        <family val="2"/>
        <charset val="238"/>
        <scheme val="minor"/>
      </rPr>
      <t xml:space="preserve"> -</t>
    </r>
    <r>
      <rPr>
        <i/>
        <sz val="12"/>
        <color indexed="8"/>
        <rFont val="Calibri"/>
        <family val="2"/>
        <charset val="238"/>
        <scheme val="minor"/>
      </rPr>
      <t xml:space="preserve"> povinné</t>
    </r>
  </si>
  <si>
    <r>
      <rPr>
        <b/>
        <sz val="11"/>
        <color theme="1"/>
        <rFont val="Calibri"/>
        <family val="2"/>
        <charset val="238"/>
        <scheme val="minor"/>
      </rPr>
      <t xml:space="preserve"> CHSK</t>
    </r>
    <r>
      <rPr>
        <b/>
        <vertAlign val="subscript"/>
        <sz val="11"/>
        <color theme="1"/>
        <rFont val="Calibri"/>
        <family val="2"/>
        <charset val="238"/>
        <scheme val="minor"/>
      </rPr>
      <t>Cr</t>
    </r>
    <r>
      <rPr>
        <b/>
        <sz val="11"/>
        <color theme="1"/>
        <rFont val="Calibri"/>
        <family val="2"/>
        <charset val="238"/>
        <scheme val="minor"/>
      </rPr>
      <t xml:space="preserve"> povinné vždy</t>
    </r>
    <r>
      <rPr>
        <sz val="11"/>
        <color theme="1"/>
        <rFont val="Calibri"/>
        <family val="2"/>
        <charset val="238"/>
        <scheme val="minor"/>
      </rPr>
      <t>, ostatní dle relevance.</t>
    </r>
  </si>
  <si>
    <t>Délka nově budovaného přivaděče* (m)</t>
  </si>
  <si>
    <t>*přivaděč = kanalizace od poslední spojné šachty kanalizačních řadů nebo ČS výtlaku na ČOV situovanou v katastru jiné obce</t>
  </si>
  <si>
    <r>
      <t xml:space="preserve">Indikátory projektu </t>
    </r>
    <r>
      <rPr>
        <i/>
        <sz val="12"/>
        <color theme="1"/>
        <rFont val="Calibri"/>
        <family val="2"/>
        <charset val="238"/>
        <scheme val="minor"/>
      </rPr>
      <t>- povinné dle opatření</t>
    </r>
  </si>
  <si>
    <r>
      <t xml:space="preserve">Souhrnné kritérium </t>
    </r>
    <r>
      <rPr>
        <i/>
        <sz val="12"/>
        <color theme="1"/>
        <rFont val="Calibri"/>
        <family val="2"/>
        <charset val="238"/>
        <scheme val="minor"/>
      </rPr>
      <t>- povinné</t>
    </r>
  </si>
  <si>
    <t>Projekt technicky nedořešen</t>
  </si>
  <si>
    <t>TŘ</t>
  </si>
  <si>
    <t>* Nunté doložit výpočtem</t>
  </si>
  <si>
    <t>pak zneviditelnít!!!</t>
  </si>
  <si>
    <t>Kanalizace gravitační bez přivaděče - řady (m)</t>
  </si>
  <si>
    <t>Kanalizace podtlaková bez přivaděče - řady (m)</t>
  </si>
  <si>
    <t>Výtlaky bez přivaděče (m)</t>
  </si>
  <si>
    <t>Podchycení volných výustí - 500 EO a více v aglomeracích pod 2000 EO</t>
  </si>
  <si>
    <t>Podchycení volných výustí - 500 EO a více v aglomeracích nad 2000 EO (plnění Směrnice 91/271/EHS)</t>
  </si>
  <si>
    <t>Opatření má podstatný (přímý) vliv pro naplnění cílů k dosažení dobrého stavu nevyhovujícího vodního útvaru</t>
  </si>
  <si>
    <t>Opatření má částečný vliv pro naplnění cílů k dosažení dobrého stavu nevyhovujícího vodního útvaru</t>
  </si>
  <si>
    <t>Opatření má podstatný vliv pro zlepšení stavu potenciálně nevyhovujícího vodního útvaru</t>
  </si>
  <si>
    <t>Ostatní</t>
  </si>
  <si>
    <t>Podchycení volných výustí - méně než 500 EO</t>
  </si>
  <si>
    <t>1.4.1 + 1.4.2 + 1.4.3</t>
  </si>
  <si>
    <t>Uzavřená Smlouva o dílo na realizaci</t>
  </si>
  <si>
    <t>SP</t>
  </si>
  <si>
    <t>smlouva</t>
  </si>
  <si>
    <t>SP+Smlouva</t>
  </si>
  <si>
    <t>pp</t>
  </si>
  <si>
    <t>Projektová příprava</t>
  </si>
  <si>
    <r>
      <t xml:space="preserve">Projektová přípravenost (vyber      ) </t>
    </r>
    <r>
      <rPr>
        <sz val="12"/>
        <color theme="1"/>
        <rFont val="Calibri"/>
        <family val="2"/>
        <charset val="238"/>
        <scheme val="minor"/>
      </rPr>
      <t>-</t>
    </r>
    <r>
      <rPr>
        <b/>
        <sz val="12"/>
        <color theme="1"/>
        <rFont val="Calibri"/>
        <family val="2"/>
        <charset val="238"/>
        <scheme val="minor"/>
      </rPr>
      <t xml:space="preserve"> </t>
    </r>
    <r>
      <rPr>
        <i/>
        <sz val="12"/>
        <color theme="1"/>
        <rFont val="Calibri"/>
        <family val="2"/>
        <charset val="238"/>
        <scheme val="minor"/>
      </rPr>
      <t>dle relevance Výzvy</t>
    </r>
  </si>
  <si>
    <t>Kanalizace tlaková bez přivaděče - řady (m)</t>
  </si>
  <si>
    <r>
      <t>Snížení množství odlehčených odpadních vod</t>
    </r>
    <r>
      <rPr>
        <b/>
        <sz val="11"/>
        <color theme="1"/>
        <rFont val="Calibri"/>
        <family val="2"/>
        <charset val="238"/>
        <scheme val="minor"/>
      </rPr>
      <t>*</t>
    </r>
  </si>
  <si>
    <r>
      <t>Přehled stok dle ÚR / SP</t>
    </r>
    <r>
      <rPr>
        <i/>
        <sz val="12"/>
        <color theme="1"/>
        <rFont val="Calibri"/>
        <family val="2"/>
        <charset val="238"/>
        <scheme val="minor"/>
      </rPr>
      <t xml:space="preserve"> (m)</t>
    </r>
  </si>
  <si>
    <t>specifický cíl</t>
  </si>
  <si>
    <t>název žadatele:</t>
  </si>
  <si>
    <t>název projektu:</t>
  </si>
  <si>
    <t>číslo projektu:</t>
  </si>
  <si>
    <t>číslo výzvy:</t>
  </si>
  <si>
    <t>Celkové výdaje:</t>
  </si>
  <si>
    <t>Nezpůsobilé výdaje:</t>
  </si>
  <si>
    <t>Způsobilé výdaje:</t>
  </si>
  <si>
    <t>Podpora SFŽP:</t>
  </si>
  <si>
    <t>Je projekt technicky nedořešen?</t>
  </si>
  <si>
    <t>Počet bodů za hodnotitele B</t>
  </si>
  <si>
    <t>Počet bodů za hodnotitele A</t>
  </si>
  <si>
    <t>získal projekt z nějakého kritéria červenou nulu?</t>
  </si>
  <si>
    <t>Jméno hodnotitele A</t>
  </si>
  <si>
    <t>Jméno hodnotitele B</t>
  </si>
  <si>
    <t>Jméno VPM</t>
  </si>
  <si>
    <t>Projektová připravenost</t>
  </si>
  <si>
    <t>Technická kvalita projektu</t>
  </si>
  <si>
    <t>Technicky nedořešeno</t>
  </si>
  <si>
    <t>Vyřazen na vylučovacím kritériu</t>
  </si>
  <si>
    <t>Aglomerace dle PRVKUK</t>
  </si>
  <si>
    <t>Náklady na ČOV / přivaděč - technologická část</t>
  </si>
  <si>
    <t>Náklady na ČOV / přivaděč - stavební část</t>
  </si>
  <si>
    <t>Chem. spotř. kyslíku, Cr-metoda [t/rok]</t>
  </si>
  <si>
    <t>Celkový fosfor [t/rok]</t>
  </si>
  <si>
    <t>Kapacita ČOV po realizaci [EO]</t>
  </si>
  <si>
    <t>Délka nově budované kanalizace celkem [m]</t>
  </si>
  <si>
    <t>Délka nově přivaděčů [m]</t>
  </si>
  <si>
    <t>Délka nově budovaných připojení [m]</t>
  </si>
  <si>
    <t>Odvedené znečištění novou kanalizací [EO]</t>
  </si>
  <si>
    <t>Kanalizace gravitační - řady [m]</t>
  </si>
  <si>
    <t>Kanalizace tlaková - řady [m]</t>
  </si>
  <si>
    <t>Kanalizace podtlaková - řady [m]</t>
  </si>
  <si>
    <t>Přípojky gravitační [m]</t>
  </si>
  <si>
    <t>Přípojky tlakové [m]</t>
  </si>
  <si>
    <t>Přípojky podtlakové [m]</t>
  </si>
  <si>
    <t xml:space="preserve">Kanalizace - nákladovost v Kč / EO [body]  </t>
  </si>
  <si>
    <t xml:space="preserve">Kanalizace - nákladovost v Kč / EO </t>
  </si>
  <si>
    <t xml:space="preserve">Kanalizace - nákladovost v Kč/1bm [body] </t>
  </si>
  <si>
    <t>Body SP - vážený průměr</t>
  </si>
  <si>
    <t>Kanalizace - nákladovost v  [Kč/1bm]</t>
  </si>
  <si>
    <t>Ano</t>
  </si>
  <si>
    <t>Výstup  z hodnocení</t>
  </si>
  <si>
    <t>Obecná část</t>
  </si>
  <si>
    <t>Část za OOV</t>
  </si>
  <si>
    <t>1.4 Podpora přístupu k vodě a udržitelného hospodaření s vodou</t>
  </si>
  <si>
    <t>Ne</t>
  </si>
  <si>
    <t>S.C. 1.4 Podpora přístupu k vodě a udržitelného hospodaření s vodou</t>
  </si>
  <si>
    <t>Celková délka nově budovaných kanalizačních řadů (m)</t>
  </si>
  <si>
    <t>chyby/poznámky od PM</t>
  </si>
  <si>
    <t>Pokyny a pravidla k vyplnění FTP 2021+</t>
  </si>
  <si>
    <t xml:space="preserve">Identifikace projektu: </t>
  </si>
  <si>
    <t>Projektová opatření</t>
  </si>
  <si>
    <t xml:space="preserve">Posouzení variant centralizované vs. decentralizované (více ČOV, domovní ČOV)? Zdůvodnění vybraného řešení.  </t>
  </si>
  <si>
    <t xml:space="preserve">Posouzení ekonomiky zvoleného řešení? Srovnání centralizovaného / decentralizovaného řešení. Zdůvodnění zvoleného řešení. </t>
  </si>
  <si>
    <t xml:space="preserve">Posouzení varianty odvedení (přečerpání) odpadních vod na již fungující větší ČOV? Zdůvodnění vybraného řešení.  </t>
  </si>
  <si>
    <t xml:space="preserve">Posouzení varianty intenzifikace / rekonstrukce fungující ČOV vs. výstavba nové ČOV? Zdůvodnění zvoleného řešení. </t>
  </si>
  <si>
    <t xml:space="preserve">Technické posouzení varianty výstavba gravitační / tlakové / podtlakové kanalizace. Zdůvodnění vybraného řešení.  </t>
  </si>
  <si>
    <t xml:space="preserve">Ekonomické posouzení varianty výstavba gravitační / tlakové / podtlakové kanalizace. Zdůvodnění vybraného řešení.  </t>
  </si>
  <si>
    <t>OPŽP 2021-2027</t>
  </si>
  <si>
    <t>1.4.1 Dobudování a výstavba čistíren odpadních vod; dobudování a výstavba kanalizací</t>
  </si>
  <si>
    <t>Délka nově budované kanalizace</t>
  </si>
  <si>
    <t>Počet nově budovaných ČOV</t>
  </si>
  <si>
    <t>Nová kapacita pro čištění odpadních vod</t>
  </si>
  <si>
    <t>Modernizovaná kapacita pro čištění odpadních vod</t>
  </si>
  <si>
    <r>
      <t>Snížení množství vypouštěného znečištění v ukazateli CHSK</t>
    </r>
    <r>
      <rPr>
        <vertAlign val="subscript"/>
        <sz val="11"/>
        <color theme="1"/>
        <rFont val="Calibri"/>
        <family val="2"/>
        <charset val="238"/>
        <scheme val="minor"/>
      </rPr>
      <t>Cr</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</si>
  <si>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1.4.1</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</si>
  <si>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1.4.2</t>
    </r>
    <r>
      <rPr>
        <sz val="11"/>
        <color theme="1"/>
        <rFont val="Calibri"/>
        <family val="2"/>
        <charset val="238"/>
        <scheme val="minor"/>
      </rPr>
      <t/>
    </r>
  </si>
  <si>
    <r>
      <t>Snížení množství vypouštěného znečištění v ukazateli CHSK</t>
    </r>
    <r>
      <rPr>
        <vertAlign val="subscript"/>
        <sz val="11"/>
        <color theme="1"/>
        <rFont val="Calibri"/>
        <family val="2"/>
        <charset val="238"/>
        <scheme val="minor"/>
      </rPr>
      <t>Cr</t>
    </r>
    <r>
      <rPr>
        <sz val="11"/>
        <color theme="1"/>
        <rFont val="Calibri"/>
        <family val="2"/>
        <charset val="238"/>
        <scheme val="minor"/>
      </rPr>
      <t xml:space="preserve"> v opatření 1.4.3</t>
    </r>
    <r>
      <rPr>
        <sz val="11"/>
        <color theme="1"/>
        <rFont val="Calibri"/>
        <family val="2"/>
        <charset val="238"/>
        <scheme val="minor"/>
      </rPr>
      <t/>
    </r>
  </si>
  <si>
    <r>
      <t xml:space="preserve">Počet EO </t>
    </r>
    <r>
      <rPr>
        <b/>
        <sz val="11"/>
        <color theme="1"/>
        <rFont val="Calibri"/>
        <family val="2"/>
        <charset val="238"/>
        <scheme val="minor"/>
      </rPr>
      <t>nově</t>
    </r>
    <r>
      <rPr>
        <sz val="11"/>
        <color theme="1"/>
        <rFont val="Calibri"/>
        <family val="2"/>
        <charset val="238"/>
        <scheme val="minor"/>
      </rPr>
      <t xml:space="preserve"> napojených projektem</t>
    </r>
  </si>
  <si>
    <r>
      <t>PRVÚK odkaz</t>
    </r>
    <r>
      <rPr>
        <sz val="12"/>
        <color theme="1"/>
        <rFont val="Calibri"/>
        <family val="2"/>
        <charset val="238"/>
        <scheme val="minor"/>
      </rPr>
      <t xml:space="preserve"> - </t>
    </r>
    <r>
      <rPr>
        <i/>
        <sz val="12"/>
        <color theme="1"/>
        <rFont val="Calibri"/>
        <family val="2"/>
        <charset val="238"/>
        <scheme val="minor"/>
      </rPr>
      <t>povinné</t>
    </r>
  </si>
  <si>
    <t>Počet měření (zařízení) odlehčených odpadních vod</t>
  </si>
  <si>
    <t>vybete Opatření #2 je-li relevantní</t>
  </si>
  <si>
    <t>vybete Opatření #3 je-li relevantní</t>
  </si>
  <si>
    <t>1. Údaje o současném stavu VHI v řešené oblasti/lokalitě</t>
  </si>
  <si>
    <t>obyvatel</t>
  </si>
  <si>
    <t>2. Účel realizace projektu</t>
  </si>
  <si>
    <t>Počet obyvatel obce (výhled-dle Územního plánu) </t>
  </si>
  <si>
    <t xml:space="preserve">                            Hodnotící kritéria</t>
  </si>
  <si>
    <t>3.1a Technické posouzení a vyhodnocení variant centralizované vs. decentralizované - více ČOV/domovní ČOV (je-li relevantní)</t>
  </si>
  <si>
    <t>3.1b Ekonomické posouzení a vyhodnocení zvoleného řešení. Srovnání centralizovaného vs. decentralizovaného řešení (je-li relevantní)</t>
  </si>
  <si>
    <t>3.2a Technické posouzení a vyhodnocení varianty odvedení (přečerpání) odpadních vod na stávající ČOV vs. výstavby nové ČOV (je-li relevantní)</t>
  </si>
  <si>
    <t>3.2b Ekonomické posouzení a vyhodnocení varianty odvedení (přečerpání) odpadních vod na stávající ČOV vs. výstavby nové ČOV (je-li relevantní)</t>
  </si>
  <si>
    <t>3.3b Ekonomické posouzení a vyhodnocení varianty intenzifikace / rekonstrukce stávající  ČOV vs. výstavba nové ČOV  (je-li relevantní)</t>
  </si>
  <si>
    <t>3.4a Technické posouzení a vyhodnocení varianty výstavby gravitační / tlakové / podtlakové kanalizace  (je-li relevantní)</t>
  </si>
  <si>
    <t>3.5 Zdůvodnění vybraného řešení (shrnutí).</t>
  </si>
  <si>
    <t>3.4b Ekonomické posouzení a vyhodonocení varianty výstavby gravitační / tlakové / podtlakové kanalizace  (je-li relevantní)</t>
  </si>
  <si>
    <t>3.3a Technické posouzení a vyhodnocení varianty intenzifikace / rekonstrukce stávající ČOV vs. výstavba nové ČOV (je-li relevantní)</t>
  </si>
  <si>
    <t xml:space="preserve">3. Posouzení variant řešení </t>
  </si>
  <si>
    <t>CZ.05.XXX</t>
  </si>
  <si>
    <t>opatření #1</t>
  </si>
  <si>
    <t>opatření #2</t>
  </si>
  <si>
    <t>opatření #3</t>
  </si>
  <si>
    <t>Vliv opatření na stav vodního toku</t>
  </si>
  <si>
    <t>Chráněná území</t>
  </si>
  <si>
    <t>Náklady na kanalizaci (včetně OK, ČS)</t>
  </si>
  <si>
    <t>Náklady na ostatní objekty na síti (retenční nádrže, dešťové zdrže, odlehčovací komory)</t>
  </si>
  <si>
    <t>Kapacita nově budovaných ČOV [EO]</t>
  </si>
  <si>
    <t>Délka nově budovaných řadů bez přivaděče [m]</t>
  </si>
  <si>
    <t>Výtlaky bez přivaděče [m]</t>
  </si>
  <si>
    <t xml:space="preserve">Nová ČOV/přivaděč - nákladovost [body]  </t>
  </si>
  <si>
    <t xml:space="preserve">Nová ČOV/přivaděč - nákladovost [Kč/EO] </t>
  </si>
  <si>
    <t xml:space="preserve">rekonstruovaná ČOV - kvalita řešení [body]  </t>
  </si>
  <si>
    <t xml:space="preserve">rekonstruovaná ČOV - náklady [body]  </t>
  </si>
  <si>
    <t xml:space="preserve">Dešťové zdrže / OK - kvalita řešení [body]  </t>
  </si>
  <si>
    <t xml:space="preserve">Dešťové zdrže / OK - náklady [body]  </t>
  </si>
  <si>
    <t xml:space="preserve">SKP - technicky nedořešen [body]  </t>
  </si>
  <si>
    <t>Volné výusti / pobočkové ČOV / dostavba kanalizace 98% - 2 000 EO</t>
  </si>
  <si>
    <t>kategorie projektů</t>
  </si>
  <si>
    <t>Vyber kategorii</t>
  </si>
  <si>
    <t>Vlastní zdroje žadatele:</t>
  </si>
  <si>
    <t>Vyber uznatelnost</t>
  </si>
  <si>
    <t>DPH je způsobilé:</t>
  </si>
  <si>
    <t>tisk</t>
  </si>
  <si>
    <t>PDF bez HA/HB/VPM</t>
  </si>
  <si>
    <r>
      <t>V listě "</t>
    </r>
    <r>
      <rPr>
        <b/>
        <sz val="11"/>
        <rFont val="Calibri"/>
        <family val="2"/>
        <charset val="238"/>
        <scheme val="minor"/>
      </rPr>
      <t>Popis projektu</t>
    </r>
    <r>
      <rPr>
        <sz val="11"/>
        <rFont val="Calibri"/>
        <family val="2"/>
        <charset val="238"/>
        <scheme val="minor"/>
      </rPr>
      <t>" vyplňte všechny kolonky označené doprovodným textem  "</t>
    </r>
    <r>
      <rPr>
        <i/>
        <sz val="11"/>
        <rFont val="Calibri"/>
        <family val="2"/>
        <charset val="238"/>
        <scheme val="minor"/>
      </rPr>
      <t>Popište/Vyplňte</t>
    </r>
    <r>
      <rPr>
        <sz val="11"/>
        <rFont val="Calibri"/>
        <family val="2"/>
        <charset val="238"/>
        <scheme val="minor"/>
      </rPr>
      <t>"</t>
    </r>
  </si>
  <si>
    <r>
      <t>Na listě "</t>
    </r>
    <r>
      <rPr>
        <b/>
        <sz val="11"/>
        <color theme="1"/>
        <rFont val="Calibri"/>
        <family val="2"/>
        <charset val="238"/>
        <scheme val="minor"/>
      </rPr>
      <t>Projekt#</t>
    </r>
    <r>
      <rPr>
        <b/>
        <sz val="11"/>
        <rFont val="Calibri"/>
        <family val="2"/>
        <charset val="238"/>
        <scheme val="minor"/>
      </rPr>
      <t>1</t>
    </r>
    <r>
      <rPr>
        <sz val="11"/>
        <color theme="1"/>
        <rFont val="Calibri"/>
        <family val="2"/>
        <charset val="238"/>
        <scheme val="minor"/>
      </rPr>
      <t xml:space="preserve">" si </t>
    </r>
    <r>
      <rPr>
        <u/>
        <sz val="11"/>
        <color theme="1"/>
        <rFont val="Calibri"/>
        <family val="2"/>
        <charset val="238"/>
        <scheme val="minor"/>
      </rPr>
      <t>vždy</t>
    </r>
    <r>
      <rPr>
        <sz val="11"/>
        <color theme="1"/>
        <rFont val="Calibri"/>
        <family val="2"/>
        <charset val="238"/>
        <scheme val="minor"/>
      </rPr>
      <t xml:space="preserve"> vyberte z nabízených možností rolovacího seznamu či zaškrtněte checkbox v případě odkazu "</t>
    </r>
    <r>
      <rPr>
        <i/>
        <sz val="11"/>
        <color theme="1"/>
        <rFont val="Calibri"/>
        <family val="2"/>
        <charset val="238"/>
        <scheme val="minor"/>
      </rPr>
      <t>povinné</t>
    </r>
    <r>
      <rPr>
        <sz val="11"/>
        <color theme="1"/>
        <rFont val="Calibri"/>
        <family val="2"/>
        <charset val="238"/>
        <scheme val="minor"/>
      </rPr>
      <t>". U ostaních pouze "</t>
    </r>
    <r>
      <rPr>
        <i/>
        <sz val="11"/>
        <color theme="1"/>
        <rFont val="Calibri"/>
        <family val="2"/>
        <charset val="238"/>
        <scheme val="minor"/>
      </rPr>
      <t>je-li to relevantní</t>
    </r>
    <r>
      <rPr>
        <sz val="11"/>
        <color theme="1"/>
        <rFont val="Calibri"/>
        <family val="2"/>
        <charset val="238"/>
        <scheme val="minor"/>
      </rPr>
      <t xml:space="preserve">" dle řešeného opatření projektu. Šedá pole se vyplňují/dopočítávají automaticky. </t>
    </r>
  </si>
  <si>
    <t>Vyberte výzvu pro projekt:</t>
  </si>
  <si>
    <t>Pavelková</t>
  </si>
  <si>
    <t>kat. 1 „ČOV a kanalizace“ nebo „Výstavba kanalizace s napojením přivaděčem na stávající ČOV v jiné obci“ včetně SP této kategorie</t>
  </si>
  <si>
    <t>kat. 2 „Pouze kanalizace“ (mimo projekty kanalizací řešené v kategorii 1) včetně SP této kategorie</t>
  </si>
  <si>
    <t>kat. 3 "Pouze ČOV“ (nová či rekonstrukce) včetně SP této kategorie</t>
  </si>
  <si>
    <t>Počet obyvatel nově napojených na veřejné čištění odpadních vod (= indikátor "RCR 42")</t>
  </si>
  <si>
    <t>EKOLOGICKÁ RELEVANCE</t>
  </si>
  <si>
    <t>Body získané</t>
  </si>
  <si>
    <t>CELKEM BODŮ</t>
  </si>
  <si>
    <r>
      <rPr>
        <b/>
        <sz val="12"/>
        <rFont val="Calibri"/>
        <family val="2"/>
        <charset val="238"/>
        <scheme val="minor"/>
      </rPr>
      <t>Komentář SFŽP k hodnocení</t>
    </r>
    <r>
      <rPr>
        <sz val="12"/>
        <rFont val="Calibri"/>
        <family val="2"/>
        <charset val="238"/>
        <scheme val="minor"/>
      </rPr>
      <t>: bez komentáře</t>
    </r>
  </si>
  <si>
    <r>
      <t xml:space="preserve">Je zakázáno mazat či měnit vzorce, přidávat či odebírat řádky (vyjma řádku 163 a níže). Na konci listu "Projekt#1" je výpočet předběžného </t>
    </r>
    <r>
      <rPr>
        <b/>
        <sz val="11"/>
        <color theme="1"/>
        <rFont val="Calibri"/>
        <family val="2"/>
        <charset val="238"/>
        <scheme val="minor"/>
      </rPr>
      <t>bodového hodnocení</t>
    </r>
    <r>
      <rPr>
        <sz val="11"/>
        <color theme="1"/>
        <rFont val="Calibri"/>
        <family val="2"/>
        <charset val="238"/>
        <scheme val="minor"/>
      </rPr>
      <t xml:space="preserve"> dle vyplněného FTP. </t>
    </r>
  </si>
  <si>
    <t>Vyber výzvu</t>
  </si>
  <si>
    <t>Bodové hodnocení projektu dle žadatelem vyplněného FTP</t>
  </si>
  <si>
    <r>
      <t>Podchycení volných výustí (</t>
    </r>
    <r>
      <rPr>
        <b/>
        <i/>
        <sz val="12"/>
        <color theme="1"/>
        <rFont val="Calibri"/>
        <family val="2"/>
        <charset val="238"/>
        <scheme val="minor"/>
      </rPr>
      <t>s existujícím povolením k vypouštění</t>
    </r>
    <r>
      <rPr>
        <b/>
        <sz val="12"/>
        <color theme="1"/>
        <rFont val="Calibri"/>
        <family val="2"/>
        <charset val="238"/>
        <scheme val="minor"/>
      </rPr>
      <t>) nebo přepojení či intenzifikace pobočkových ČOV případně výstavba kanalizace v aglomeraci nad 2000 EO -</t>
    </r>
    <r>
      <rPr>
        <i/>
        <sz val="12"/>
        <color theme="1"/>
        <rFont val="Calibri"/>
        <family val="2"/>
        <charset val="238"/>
        <scheme val="minor"/>
      </rPr>
      <t xml:space="preserve"> je-li relevantní </t>
    </r>
  </si>
  <si>
    <t>Volné výusti / přepojení či int. pobočkových ČOV / dostavba kanalizace v aglomeraci nad 2000 EO s nap. pod 98%</t>
  </si>
  <si>
    <t>Přepojení či intenzifikace nevyhovujících pobočkových ČOV v aglomeracích nad 2000 EO či výstavba kanalizace s mírou napojení pod 98% v aglomeracích nad 2000 EO</t>
  </si>
  <si>
    <t>MŽP_43.výzva, SC 1.4, opatření 1.4.1, průběžná/nesoutěžní</t>
  </si>
  <si>
    <t>MŽP_42.výzva, SC 1.4, opatření 1.4.1,1.4.2, 1.4.3, kolová/soutěžní</t>
  </si>
  <si>
    <t>Výzva č. 05_23_042</t>
  </si>
  <si>
    <t>Výzva č. 05_23_043</t>
  </si>
  <si>
    <t>Vodoprávní rozhodnutí na celý rozsah opatření s nabytím právní moci (povolení ke zřízení vodního díla včetně povolení k nakládání s vodami)</t>
  </si>
  <si>
    <t>10 / 5</t>
  </si>
  <si>
    <t>CELKEM BODŮ BEZ PP</t>
  </si>
  <si>
    <t>Minimální bodové hodnocení za oblasti "Ekologická relevance" a "Technická kvalita" (bez projektové připravenosti!) pro kategorii „ČOV a kanalizace“ nebo „Výstavba kanalizace v samostatné obci s napojením přivaděčem na stávající ČOV v jiné obci“ je 45 bodů, pro kategorii „Pouze kanalizace“ 35 bodů, pro kategorii „pouze ČOV“ 30 bodů!</t>
  </si>
  <si>
    <t>Opatření neřeší problematiku ČOV (kapacitu, účinnost, kvalitu vyp. vody) odpovídajícím způsobem</t>
  </si>
  <si>
    <t>Trtil</t>
  </si>
  <si>
    <r>
      <t xml:space="preserve">Chráněná území (vyber      ) </t>
    </r>
    <r>
      <rPr>
        <i/>
        <sz val="12"/>
        <color theme="1"/>
        <rFont val="Calibri"/>
        <family val="2"/>
        <charset val="238"/>
        <scheme val="minor"/>
      </rPr>
      <t>- povinné</t>
    </r>
  </si>
  <si>
    <r>
      <t xml:space="preserve">Ukazatele znečištění - </t>
    </r>
    <r>
      <rPr>
        <i/>
        <sz val="12"/>
        <color theme="1"/>
        <rFont val="Calibri"/>
        <family val="2"/>
        <charset val="238"/>
        <scheme val="minor"/>
      </rPr>
      <t>povinné</t>
    </r>
  </si>
  <si>
    <t>Dešťová zdrž</t>
  </si>
  <si>
    <t>Celková délka nově budované kanalizační sítě s přivaděčem (m)</t>
  </si>
  <si>
    <t>Celková délka nově budované kanalizační sítě bez přivaděče (m)</t>
  </si>
  <si>
    <t>Vyplnit je-li relevantní</t>
  </si>
  <si>
    <t>Náklady int. ČOV - stavební část</t>
  </si>
  <si>
    <t>Náklady int. ČOV - technologická část</t>
  </si>
  <si>
    <t>Obec Stěžery</t>
  </si>
  <si>
    <t>Odkanalizování obce Stěžery a Stěžírky - 1. etapa</t>
  </si>
  <si>
    <t>Cena nové nebo rekonstruované kanalizace přibližné délky 1,2 km (vč. podružných řadů) by byla cca 10,006 mil. Kč (ceny jsou počítány dle Metodického pokynu Ministerstva zemědělství čj. 14000/2020-15132). K této ceně musíme připočíst cenu za doplnění opatření u nemovitostí, kde stav neodpovídá požadavkům na likvidavi odpadních vod. Opatření by se týkalo přibližně 60% objektů., což je přibližně 20 nemovitostí. Tato cena by se mohla pohybovat okolo 1,7 mil. Kč. V případě využití individuálního řešení je nutné dále připočítat náklady spojené s povolením k vypouštění odpadních vod a v případě vsakování i počítat s náklady na HG průzkum.</t>
  </si>
  <si>
    <t>Zneškodňování odpadních vod může probíhat samostatně u každé nemovitosti, ve které jsou produkovány, v režii jejího vlastníka. Mohou být využívány domovní mikročistírny, septiky se zemními filtry nebo bezodtokové těsné jímky. V obci Stěžery - v řešené části je dle statistických údajů 33 budov obytných. Opatření by se týkalo přibližně 60% objektů. Vyčištěné odpadní vody je nutné odvést do recipientu. Nevýhodou této varianty je skutečnost, že část výstavby se nenachází v těsné blízkosti recipientu a tudíž je nutné kalkulovat i s náklady na vyhovující kanalizační sběrač a napojení přepadů z DČOV a septiků. Stávající část kanalizace v obci není vhodná, lze však za určitých podmínek využít její trasu pro výstavbu nové nebo rekonstrukci původní jednotné stoky splňující požadavky na vodotěsnost. Celkem by se jednalo o cca 1,2 km výstavby či rekonstrukce stávající nevyhovující kanalizace. Nevýhodou této varianty je dále administrativa a lepší sledování účinnosti čištění odpadních vod. Dále je potřeba zmínit, že se nyní jedná o první etapu projektu, ve které je hlavně řešeno napojení na Hradec Králové a realizace centrální čerpací stanice s akumulací odpadních vod.</t>
  </si>
  <si>
    <t>Stávající vyhovující ČOV je nejblíže ve městě Hradec Králové s kapacitou 141.666 EO. Na tuto ČOV budou odváděny odpadní vody z obce Stěžery přes místní část Kukleny. V Kuklenách je místo napojení vzdáleno 2,903 km od obce Stěžery a navrhované velké čerpací stanice s navrhovanou akumulací. ČOV Hradec Králové má dostatečnou kapacitu k připojení veškerého obyvatelsatva z obce Stěžery nejen v 1. etapě, ale také v budoucí dostavbě kanalizace pro Stěžery a Stěžírky. Také v místní části Kukleny je kanalizace dostatečně kapacitně vhodná k převedení odpadních vod z obce Stěžery. Nová ČOV by musela být realizována a navržena jihovýchodně od obce Stěžery. Odpadní vody by byly odváděny do vodoteče Plačický potok. Návrhová kapacita nové ČOV by byla cca 2500 EO z důvodu napojení 1. etapy a v budoucnu i celého zbytku obce Stěžery a místní části Stěžírky, kde je v současné době celkem 2106 EO dle ČSÚ.</t>
  </si>
  <si>
    <t>Ke stávajícímu projektu je tedy navržen výtlak do místní části Kukleny v Hradci Králové v délce 2,903 km, kde se kanalizace napojí na stávající kanalizaci a vody by byly odvedeny na ČOV Hradc Králové. Tento výtlak by byl dlouhý 2,903 km, což vychází na přibližně 13,412 mil. Kč (ceny jsou počítány dle Metodického pokynu Ministerstva zemědělství čj. 14000/2020-15132). K tomuto výtlaku je potřeba připočítat i finance na realizaci čerpací stanice ve výši 3,09 mil. Kč a dále na akumulační nádrž o objemu 72m3 před čerpací stanicí v hodnotě 2,73 mil. Kč. Celková cena za výtlak do Hradce Králové je tedy 19,232 mil. Kč. Kdežto nová ČOV, která by se musela realizovat místo výtlaku, s kapacitou pro celou obec Stěžery a místní část Stěžírky je 2500 EO a vychází tedy na minimálně 33,390 mil. Kč (ceny jsou počítány dle Metodického pokynu Ministerstva zemědělství čj. 14000/2020-15132).</t>
  </si>
  <si>
    <t>V obci Stěžery není stávající centrální ČOV. Návrhová kapacita nové ČOV by byla cca 2500 EO z důvodu napojení 1. etapy a v budoucnu i celého zbytku obce Stěžery a místní části Stěžírky, kde je v současné době celkem 2106 EO dle ČSÚ.</t>
  </si>
  <si>
    <t>V obci Stěžery není stávající centrální ČOV. Nová ČOV, která by se musela realizovat místo výtlaku, s kapacitou pro celou obec Stěžery a místní část Stěžírky je 2500 EO a vychází tedy na minimálně 33,390 mil. Kč</t>
  </si>
  <si>
    <t>Z výše uvedeného vyplývá, že z hlediska pořizovacích a provozních nákladů se některé varianty zásadně neodlišují. 
Hlavní rozdíly a důvody, proč se obec Stěžery rozhodla pro variantu centrálního způsobu odkanalizování gravitační kanalizací tedy jsou:
A) Ekologická relevance projektu, která ve variantě centrálního řešení umožní větší efektivitu odstranění znečištění v lokalitě, zajistí výrazně lepší kontrolovatelnost nakládání s odpadními vodami při zvýšení komfortu uživatelů napojených na kanalizační systém zakončený centrální ČOV. 
B) Za předpokladu nakládání s odpadními vodami dle platné legislativy nižší celkové roční náklady na provoz zařízení a likvidaci OV.
C) Soulad s politikou plánování v oblasti vod.
D) Administrativa – evidence, vzorkování OV, povolení k nakládání a povolení k vypouštění.
E) Ekonomická - levnější pořizovací náklady projektu s přihlédnutím k platné legislativě ČR, závazkům ČR vůči EU v oblasti čištění odpadních vod a místním podmínkám v lokalitě lze tedy jako vhodnější variantu zvolit centrální řešení tj. výstavba gravitační kanalizace Stěžery s napojením na stávající ČOV v Hradci Králové.</t>
  </si>
  <si>
    <t>Dle projektové dokumentace je navržena gravitační kanalizace. Projekt zahrnuje výstavbu 825 m gravitační kanalizace a 211 m veřejných gravitačních přípojek. Návrh tlakové kanalizace v obci Stěžery by dle předpokladu byl veden ve stejné trase gravitační kanalizace. Projekt by tak zahrnoval výstavbu přibližně 825 m tlakové kanalizace, 422 m podružné tlakové kanalizace včetně 33 kusů domovních čerpacích jednotek.</t>
  </si>
  <si>
    <t>Cena hlavní tlakové kanalizace délky 825 m by byla 3,733 mil. Kč (ceny jsou počítány dle Metodického pokynu Ministerstva zemědělství čj. 14000/2020-15132).  Náklady na výstavbu podružných tlakových řadů délky 422 m by byla přibližně za 1,23 mil. Kč. Cena 33 kusů domovních čerpacích stanic včetně přípojek NN by se pohybovala okolo 2,475 mil. Kč. Celková cena za tlakovou kanalizaci vychází tedy na 7,438 mil. Kč. Projekt gravitační kanalizace by dle návrhu zahrnoval výstavbu přibližně 825 m gravitační kanalizace, cena gravitace by byla 7,951 mil. Kč (ceny jsou počítány dle Metodického pokynu Ministerstva zemědělství čj. 14000/2020-15132). Gravitační veřejné přípojky délky 211 m vychází na 1,309 mil. Kč. Celková cena za gravitační kanalizaci vychází na 9,26 mil. Kč. Hlavním cenovým rozdílem mezi navrženou gravitační kanalizací a tlakovou kanalizací jsou náklady na provoz kanalizace. A dále je také nutné zmínit, že v projektu je navržena dimenze potrubí gravitační kanalizaci DN 400 kvůli případné akumulaci vod při výpadku proudu nebo poruše na čerpací stanici. Pokud by byla navržena tlaková kanalizace, musela by být realizována akumulační nádrž před čerpací stanicí s větší kapacitou naž je navržena stávející akumulační nádrž.</t>
  </si>
  <si>
    <t>Akumulační nádrž před čerpací stanicí</t>
  </si>
  <si>
    <t>A</t>
  </si>
  <si>
    <t>A3</t>
  </si>
  <si>
    <t>A5</t>
  </si>
  <si>
    <t>A6</t>
  </si>
  <si>
    <t>A8</t>
  </si>
  <si>
    <t>A8 - výtlak</t>
  </si>
  <si>
    <t>HK - gravitační část na výtlaku</t>
  </si>
  <si>
    <t>https://prvk.khk.cz/prvk/karty/nahled/254</t>
  </si>
  <si>
    <t xml:space="preserve">V obci je v současné době vybudována jednotná kanalizace zakončená volnými výusťmi. Tato jednotná kanalizace bude po realizaci tohoto projektu dále využívána pouze pro odvádění dešťové vody. </t>
  </si>
  <si>
    <t xml:space="preserve">Účelem realizace tohoto projektu je zajistit odvádění splaškových vod od jednotlivých nemovitostí a jejich odbornou likvidaci na ČOV Hradec Králové. Tím také dojde ke zlepšení životní prostředí dotčených obyvatel.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</si>
</sst>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_ ;[Red]\-#,##0.00\ "/>
    <numFmt numFmtId="165" formatCode="#,##0.00\ &quot;Kč&quot;"/>
    <numFmt numFmtId="166" formatCode="_-* #,##0.0000\ _K_č_-;\-* #,##0.0000\ _K_č_-;_-* &quot;-&quot;??\ _K_č_-;_-@_-"/>
    <numFmt numFmtId="167" formatCode="#,##0.000"/>
    <numFmt numFmtId="168" formatCode="0.00#%"/>
    <numFmt numFmtId="169" formatCode="#,##0.0000"/>
  </numFmts>
  <fonts count="45" x14ac:knownFonts="1">
    <font>
      <sz val="11"/>
      <color theme="1"/>
      <name val="Calibri"/>
      <family val="2"/>
      <charset val="238"/>
      <scheme val="minor"/>
    </font>
    <font>
      <i/>
      <sz val="11"/>
      <color theme="1"/>
      <name val="Calibri"/>
      <family val="2"/>
      <charset val="238"/>
      <scheme val="minor"/>
    </font>
    <font>
      <sz val="10"/>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0"/>
      <color theme="1"/>
      <name val="Calibri"/>
      <family val="2"/>
      <charset val="238"/>
      <scheme val="minor"/>
    </font>
    <font>
      <sz val="10"/>
      <color theme="1"/>
      <name val="Calibri"/>
      <family val="2"/>
      <charset val="238"/>
      <scheme val="minor"/>
    </font>
    <font>
      <sz val="9"/>
      <color theme="1"/>
      <name val="Calibri"/>
      <family val="2"/>
      <charset val="238"/>
      <scheme val="minor"/>
    </font>
    <font>
      <b/>
      <sz val="9"/>
      <color indexed="81"/>
      <name val="Tahoma"/>
      <family val="2"/>
      <charset val="238"/>
    </font>
    <font>
      <b/>
      <sz val="11"/>
      <name val="Calibri"/>
      <family val="2"/>
      <charset val="238"/>
      <scheme val="minor"/>
    </font>
    <font>
      <sz val="9"/>
      <color indexed="81"/>
      <name val="Tahoma"/>
      <family val="2"/>
      <charset val="238"/>
    </font>
    <font>
      <sz val="11"/>
      <color theme="0"/>
      <name val="Calibri"/>
      <family val="2"/>
      <charset val="238"/>
      <scheme val="minor"/>
    </font>
    <font>
      <sz val="11"/>
      <name val="Calibri"/>
      <family val="2"/>
      <charset val="238"/>
      <scheme val="minor"/>
    </font>
    <font>
      <b/>
      <sz val="12"/>
      <color theme="1"/>
      <name val="Calibri"/>
      <family val="2"/>
      <charset val="238"/>
      <scheme val="minor"/>
    </font>
    <font>
      <sz val="12"/>
      <color theme="1"/>
      <name val="Calibri"/>
      <family val="2"/>
      <charset val="238"/>
      <scheme val="minor"/>
    </font>
    <font>
      <i/>
      <sz val="12"/>
      <color theme="1"/>
      <name val="Calibri"/>
      <family val="2"/>
      <charset val="238"/>
      <scheme val="minor"/>
    </font>
    <font>
      <b/>
      <sz val="10"/>
      <color indexed="81"/>
      <name val="Tahoma"/>
      <family val="2"/>
      <charset val="238"/>
    </font>
    <font>
      <sz val="10"/>
      <color indexed="81"/>
      <name val="Tahoma"/>
      <family val="2"/>
      <charset val="238"/>
    </font>
    <font>
      <sz val="12"/>
      <name val="Calibri"/>
      <family val="2"/>
      <charset val="238"/>
      <scheme val="minor"/>
    </font>
    <font>
      <vertAlign val="subscript"/>
      <sz val="11"/>
      <name val="Calibri"/>
      <family val="2"/>
      <charset val="238"/>
      <scheme val="minor"/>
    </font>
    <font>
      <vertAlign val="superscript"/>
      <sz val="11"/>
      <name val="Calibri"/>
      <family val="2"/>
      <charset val="238"/>
      <scheme val="minor"/>
    </font>
    <font>
      <b/>
      <vertAlign val="subscript"/>
      <sz val="11"/>
      <color theme="1"/>
      <name val="Calibri"/>
      <family val="2"/>
      <charset val="238"/>
      <scheme val="minor"/>
    </font>
    <font>
      <b/>
      <vertAlign val="subscript"/>
      <sz val="11"/>
      <name val="Calibri"/>
      <family val="2"/>
      <charset val="238"/>
      <scheme val="minor"/>
    </font>
    <font>
      <b/>
      <i/>
      <sz val="12"/>
      <color theme="1"/>
      <name val="Calibri"/>
      <family val="2"/>
      <charset val="238"/>
      <scheme val="minor"/>
    </font>
    <font>
      <b/>
      <sz val="12"/>
      <color indexed="8"/>
      <name val="Calibri"/>
      <family val="2"/>
      <charset val="238"/>
      <scheme val="minor"/>
    </font>
    <font>
      <b/>
      <sz val="12"/>
      <name val="Calibri"/>
      <family val="2"/>
      <charset val="238"/>
      <scheme val="minor"/>
    </font>
    <font>
      <b/>
      <sz val="16"/>
      <name val="Calibri"/>
      <family val="2"/>
      <charset val="238"/>
      <scheme val="minor"/>
    </font>
    <font>
      <b/>
      <sz val="12"/>
      <color theme="8" tint="0.79998168889431442"/>
      <name val="Calibri"/>
      <family val="2"/>
      <charset val="238"/>
      <scheme val="minor"/>
    </font>
    <font>
      <sz val="8"/>
      <color rgb="FF000000"/>
      <name val="Segoe UI"/>
      <family val="2"/>
      <charset val="238"/>
    </font>
    <font>
      <b/>
      <sz val="11"/>
      <color theme="0"/>
      <name val="Calibri"/>
      <family val="2"/>
      <charset val="238"/>
      <scheme val="minor"/>
    </font>
    <font>
      <sz val="12"/>
      <color theme="0"/>
      <name val="Calibri"/>
      <family val="2"/>
      <charset val="238"/>
      <scheme val="minor"/>
    </font>
    <font>
      <i/>
      <sz val="12"/>
      <name val="Calibri"/>
      <family val="2"/>
      <charset val="238"/>
      <scheme val="minor"/>
    </font>
    <font>
      <sz val="11"/>
      <color rgb="FFFF0000"/>
      <name val="Calibri"/>
      <family val="2"/>
      <charset val="238"/>
      <scheme val="minor"/>
    </font>
    <font>
      <sz val="12"/>
      <color indexed="8"/>
      <name val="Calibri"/>
      <family val="2"/>
      <charset val="238"/>
      <scheme val="minor"/>
    </font>
    <font>
      <i/>
      <sz val="12"/>
      <color indexed="8"/>
      <name val="Calibri"/>
      <family val="2"/>
      <charset val="238"/>
      <scheme val="minor"/>
    </font>
    <font>
      <b/>
      <sz val="18"/>
      <color theme="1"/>
      <name val="Calibri"/>
      <family val="2"/>
      <charset val="238"/>
      <scheme val="minor"/>
    </font>
    <font>
      <u/>
      <sz val="11"/>
      <color theme="1"/>
      <name val="Calibri"/>
      <family val="2"/>
      <charset val="238"/>
      <scheme val="minor"/>
    </font>
    <font>
      <b/>
      <sz val="14"/>
      <name val="Calibri"/>
      <family val="2"/>
      <charset val="238"/>
      <scheme val="minor"/>
    </font>
    <font>
      <b/>
      <u/>
      <sz val="10"/>
      <color indexed="8"/>
      <name val="Calibri"/>
      <family val="2"/>
      <charset val="238"/>
      <scheme val="minor"/>
    </font>
    <font>
      <sz val="10"/>
      <color rgb="FFFF0000"/>
      <name val="Calibri"/>
      <family val="2"/>
      <charset val="238"/>
      <scheme val="minor"/>
    </font>
    <font>
      <b/>
      <sz val="11"/>
      <color indexed="8"/>
      <name val="Calibri"/>
      <family val="2"/>
      <charset val="238"/>
      <scheme val="minor"/>
    </font>
    <font>
      <vertAlign val="subscript"/>
      <sz val="11"/>
      <color theme="1"/>
      <name val="Calibri"/>
      <family val="2"/>
      <charset val="238"/>
      <scheme val="minor"/>
    </font>
    <font>
      <i/>
      <sz val="11"/>
      <name val="Calibri"/>
      <family val="2"/>
      <charset val="238"/>
      <scheme val="minor"/>
    </font>
    <font>
      <b/>
      <sz val="12"/>
      <color theme="0"/>
      <name val="Calibri"/>
      <family val="2"/>
      <charset val="238"/>
      <scheme val="minor"/>
    </font>
  </fonts>
  <fills count="21">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92D050"/>
        <bgColor indexed="64"/>
      </patternFill>
    </fill>
    <fill>
      <patternFill patternType="solid">
        <fgColor theme="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00B0F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B482DA"/>
        <bgColor indexed="64"/>
      </patternFill>
    </fill>
    <fill>
      <patternFill patternType="solid">
        <fgColor theme="4" tint="0.59999389629810485"/>
        <bgColor indexed="64"/>
      </patternFill>
    </fill>
    <fill>
      <patternFill patternType="solid">
        <fgColor theme="8" tint="0.39997558519241921"/>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bottom style="dotted">
        <color auto="1"/>
      </bottom>
      <diagonal/>
    </border>
    <border>
      <left/>
      <right/>
      <top style="dotted">
        <color auto="1"/>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Dashed">
        <color rgb="FFA50021"/>
      </left>
      <right/>
      <top style="mediumDashed">
        <color rgb="FFA50021"/>
      </top>
      <bottom style="mediumDashed">
        <color rgb="FFA50021"/>
      </bottom>
      <diagonal/>
    </border>
    <border>
      <left/>
      <right/>
      <top style="mediumDashed">
        <color rgb="FFA50021"/>
      </top>
      <bottom style="mediumDashed">
        <color rgb="FFA50021"/>
      </bottom>
      <diagonal/>
    </border>
    <border>
      <left/>
      <right style="mediumDashed">
        <color rgb="FFA50021"/>
      </right>
      <top style="mediumDashed">
        <color rgb="FFA50021"/>
      </top>
      <bottom style="mediumDashed">
        <color rgb="FFA50021"/>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3" fillId="0" borderId="0" applyFont="0" applyFill="0" applyBorder="0" applyAlignment="0" applyProtection="0"/>
  </cellStyleXfs>
  <cellXfs count="558">
    <xf numFmtId="0" fontId="0" fillId="0" borderId="0" xfId="0"/>
    <xf numFmtId="0" fontId="0" fillId="0" borderId="0" xfId="0" applyAlignment="1">
      <alignment vertical="center"/>
    </xf>
    <xf numFmtId="0" fontId="0" fillId="0" borderId="26" xfId="0" applyBorder="1"/>
    <xf numFmtId="0" fontId="0" fillId="0" borderId="27" xfId="0" applyBorder="1"/>
    <xf numFmtId="0" fontId="0" fillId="0" borderId="28" xfId="0" applyBorder="1"/>
    <xf numFmtId="0" fontId="0" fillId="6" borderId="0" xfId="0" applyFill="1" applyAlignment="1">
      <alignment horizontal="center" vertical="center"/>
    </xf>
    <xf numFmtId="0" fontId="0" fillId="5" borderId="0" xfId="0" applyFill="1"/>
    <xf numFmtId="0" fontId="0" fillId="0" borderId="0" xfId="0" applyAlignment="1">
      <alignment horizontal="center"/>
    </xf>
    <xf numFmtId="0" fontId="0" fillId="10" borderId="0" xfId="0" applyFill="1"/>
    <xf numFmtId="0" fontId="0" fillId="9" borderId="0" xfId="0" applyFill="1"/>
    <xf numFmtId="0" fontId="0" fillId="12" borderId="0" xfId="0" applyFill="1"/>
    <xf numFmtId="0" fontId="0" fillId="0" borderId="14" xfId="0" applyBorder="1"/>
    <xf numFmtId="14" fontId="0" fillId="0" borderId="0" xfId="0" applyNumberFormat="1" applyAlignment="1">
      <alignment horizontal="center"/>
    </xf>
    <xf numFmtId="0" fontId="0" fillId="0" borderId="14" xfId="0" applyBorder="1" applyAlignment="1">
      <alignment horizontal="center" vertical="center"/>
    </xf>
    <xf numFmtId="0" fontId="0" fillId="5" borderId="14" xfId="0" applyFill="1" applyBorder="1" applyAlignment="1">
      <alignment horizontal="center" vertical="center"/>
    </xf>
    <xf numFmtId="0" fontId="0" fillId="11" borderId="0" xfId="0" applyFill="1"/>
    <xf numFmtId="0" fontId="0" fillId="11" borderId="14" xfId="0" applyFill="1" applyBorder="1" applyAlignment="1">
      <alignment horizontal="center" vertical="center"/>
    </xf>
    <xf numFmtId="0" fontId="0" fillId="13" borderId="0" xfId="0" applyFill="1"/>
    <xf numFmtId="0" fontId="0" fillId="12" borderId="14" xfId="0" applyFill="1" applyBorder="1" applyAlignment="1">
      <alignment horizontal="center" vertical="center"/>
    </xf>
    <xf numFmtId="0" fontId="0" fillId="14" borderId="0" xfId="0" applyFill="1"/>
    <xf numFmtId="0" fontId="0" fillId="14" borderId="14" xfId="0" applyFill="1" applyBorder="1" applyAlignment="1">
      <alignment horizontal="center" vertical="center"/>
    </xf>
    <xf numFmtId="0" fontId="0" fillId="14" borderId="27" xfId="0" applyFill="1" applyBorder="1" applyAlignment="1">
      <alignment horizontal="center" vertical="center"/>
    </xf>
    <xf numFmtId="0" fontId="0" fillId="13" borderId="14" xfId="0" applyFill="1" applyBorder="1" applyAlignment="1">
      <alignment horizontal="center" vertical="center"/>
    </xf>
    <xf numFmtId="0" fontId="0" fillId="0" borderId="0" xfId="0" applyAlignment="1">
      <alignment horizontal="left"/>
    </xf>
    <xf numFmtId="0" fontId="0" fillId="0" borderId="26" xfId="0" applyBorder="1" applyAlignment="1">
      <alignment horizontal="left"/>
    </xf>
    <xf numFmtId="0" fontId="0" fillId="0" borderId="27" xfId="0" applyBorder="1" applyAlignment="1">
      <alignment horizontal="left"/>
    </xf>
    <xf numFmtId="0" fontId="0" fillId="0" borderId="28" xfId="0" applyBorder="1" applyAlignment="1">
      <alignment horizontal="left"/>
    </xf>
    <xf numFmtId="1" fontId="0" fillId="0" borderId="0" xfId="0" applyNumberFormat="1"/>
    <xf numFmtId="4" fontId="0" fillId="0" borderId="0" xfId="0" applyNumberFormat="1"/>
    <xf numFmtId="0" fontId="7" fillId="0" borderId="0" xfId="0" applyFont="1" applyAlignment="1">
      <alignment horizontal="center" vertical="center"/>
    </xf>
    <xf numFmtId="1" fontId="7" fillId="0" borderId="1" xfId="0" applyNumberFormat="1" applyFont="1" applyBorder="1" applyAlignment="1">
      <alignment horizontal="center" vertical="center"/>
    </xf>
    <xf numFmtId="0" fontId="0" fillId="6" borderId="0" xfId="0" applyFill="1"/>
    <xf numFmtId="0" fontId="0" fillId="5" borderId="0" xfId="0" applyFill="1" applyAlignment="1">
      <alignment horizontal="center"/>
    </xf>
    <xf numFmtId="0" fontId="0" fillId="0" borderId="0" xfId="0" applyAlignment="1">
      <alignment horizontal="center" vertical="center"/>
    </xf>
    <xf numFmtId="0" fontId="0" fillId="5" borderId="0" xfId="0" applyFill="1" applyAlignment="1">
      <alignment horizontal="center" vertical="center"/>
    </xf>
    <xf numFmtId="167" fontId="0" fillId="0" borderId="0" xfId="0" applyNumberFormat="1" applyAlignment="1">
      <alignment horizontal="center"/>
    </xf>
    <xf numFmtId="49" fontId="7" fillId="0" borderId="1" xfId="0" applyNumberFormat="1" applyFont="1" applyBorder="1" applyAlignment="1">
      <alignment horizontal="left" vertical="center"/>
    </xf>
    <xf numFmtId="49" fontId="7" fillId="0" borderId="0" xfId="0" applyNumberFormat="1" applyFont="1" applyAlignment="1">
      <alignment horizontal="left" vertical="center"/>
    </xf>
    <xf numFmtId="0" fontId="15" fillId="6" borderId="0" xfId="0" applyFont="1" applyFill="1"/>
    <xf numFmtId="0" fontId="0" fillId="5" borderId="0" xfId="0" applyFill="1" applyAlignment="1">
      <alignment horizontal="right"/>
    </xf>
    <xf numFmtId="0" fontId="0" fillId="0" borderId="0" xfId="0" applyProtection="1">
      <protection hidden="1"/>
    </xf>
    <xf numFmtId="0" fontId="0" fillId="15" borderId="0" xfId="0" applyFill="1"/>
    <xf numFmtId="4" fontId="15" fillId="6" borderId="0" xfId="0" applyNumberFormat="1" applyFont="1" applyFill="1" applyAlignment="1">
      <alignment horizontal="left" vertical="center"/>
    </xf>
    <xf numFmtId="4" fontId="15" fillId="6" borderId="0" xfId="0" applyNumberFormat="1" applyFont="1" applyFill="1" applyAlignment="1">
      <alignment horizontal="center" vertical="center"/>
    </xf>
    <xf numFmtId="0" fontId="15" fillId="6" borderId="0" xfId="0" applyFont="1" applyFill="1" applyAlignment="1">
      <alignment horizontal="center"/>
    </xf>
    <xf numFmtId="0" fontId="0" fillId="6" borderId="0" xfId="0" applyFill="1" applyAlignment="1" applyProtection="1">
      <alignment vertical="center"/>
      <protection hidden="1"/>
    </xf>
    <xf numFmtId="0" fontId="0" fillId="0" borderId="0" xfId="0" applyAlignment="1" applyProtection="1">
      <alignment vertical="center"/>
      <protection hidden="1"/>
    </xf>
    <xf numFmtId="0" fontId="27" fillId="6" borderId="0" xfId="0" applyFont="1" applyFill="1" applyAlignment="1" applyProtection="1">
      <alignment vertical="center"/>
      <protection hidden="1"/>
    </xf>
    <xf numFmtId="0" fontId="0" fillId="20" borderId="0" xfId="0" applyFill="1" applyAlignment="1" applyProtection="1">
      <alignment vertical="center"/>
      <protection hidden="1"/>
    </xf>
    <xf numFmtId="0" fontId="19" fillId="0" borderId="10" xfId="0" applyFont="1" applyBorder="1" applyAlignment="1" applyProtection="1">
      <alignment horizontal="left" vertical="center" wrapText="1"/>
      <protection hidden="1"/>
    </xf>
    <xf numFmtId="0" fontId="19" fillId="0" borderId="32" xfId="0" applyFont="1" applyBorder="1" applyAlignment="1" applyProtection="1">
      <alignment vertical="center" wrapText="1"/>
      <protection hidden="1"/>
    </xf>
    <xf numFmtId="0" fontId="25" fillId="7" borderId="22" xfId="0" applyFont="1" applyFill="1" applyBorder="1" applyAlignment="1" applyProtection="1">
      <alignment vertical="center"/>
      <protection hidden="1"/>
    </xf>
    <xf numFmtId="0" fontId="0" fillId="0" borderId="0" xfId="0" applyAlignment="1" applyProtection="1">
      <alignment vertical="center" wrapText="1"/>
      <protection hidden="1"/>
    </xf>
    <xf numFmtId="0" fontId="0" fillId="6" borderId="0" xfId="0" applyFill="1" applyAlignment="1" applyProtection="1">
      <alignment vertical="center" wrapText="1"/>
      <protection hidden="1"/>
    </xf>
    <xf numFmtId="0" fontId="0" fillId="0" borderId="25" xfId="0" applyBorder="1" applyAlignment="1" applyProtection="1">
      <alignment vertical="center"/>
      <protection hidden="1"/>
    </xf>
    <xf numFmtId="0" fontId="0" fillId="0" borderId="15" xfId="0" applyBorder="1" applyAlignment="1" applyProtection="1">
      <alignment vertical="center"/>
      <protection hidden="1"/>
    </xf>
    <xf numFmtId="0" fontId="0" fillId="0" borderId="20" xfId="0" applyBorder="1" applyAlignment="1" applyProtection="1">
      <alignment vertical="center"/>
      <protection hidden="1"/>
    </xf>
    <xf numFmtId="0" fontId="0" fillId="6" borderId="9" xfId="0" applyFill="1" applyBorder="1" applyAlignment="1" applyProtection="1">
      <alignment vertical="center"/>
      <protection hidden="1"/>
    </xf>
    <xf numFmtId="0" fontId="0" fillId="6" borderId="11" xfId="0" applyFill="1" applyBorder="1" applyAlignment="1" applyProtection="1">
      <alignment vertical="center"/>
      <protection hidden="1"/>
    </xf>
    <xf numFmtId="0" fontId="0" fillId="0" borderId="23" xfId="0" applyBorder="1" applyAlignment="1" applyProtection="1">
      <alignment vertical="center"/>
      <protection hidden="1"/>
    </xf>
    <xf numFmtId="0" fontId="7" fillId="6" borderId="54" xfId="0" applyFont="1" applyFill="1" applyBorder="1" applyAlignment="1" applyProtection="1">
      <alignment vertical="center"/>
      <protection hidden="1"/>
    </xf>
    <xf numFmtId="0" fontId="0" fillId="6" borderId="54" xfId="0" applyFill="1" applyBorder="1" applyAlignment="1" applyProtection="1">
      <alignment vertical="center"/>
      <protection hidden="1"/>
    </xf>
    <xf numFmtId="0" fontId="0" fillId="0" borderId="6" xfId="0" applyBorder="1" applyAlignment="1" applyProtection="1">
      <alignment vertical="center"/>
      <protection hidden="1"/>
    </xf>
    <xf numFmtId="0" fontId="0" fillId="0" borderId="35" xfId="0" applyBorder="1" applyAlignment="1" applyProtection="1">
      <alignment vertical="center"/>
      <protection hidden="1"/>
    </xf>
    <xf numFmtId="0" fontId="30" fillId="6" borderId="1" xfId="0" applyFont="1" applyFill="1" applyBorder="1" applyAlignment="1" applyProtection="1">
      <alignment horizontal="center" vertical="center" wrapText="1"/>
      <protection hidden="1"/>
    </xf>
    <xf numFmtId="0" fontId="0" fillId="0" borderId="37" xfId="0" applyBorder="1" applyAlignment="1" applyProtection="1">
      <alignment horizontal="left" vertical="center"/>
      <protection hidden="1"/>
    </xf>
    <xf numFmtId="0" fontId="0" fillId="6" borderId="31" xfId="0" applyFill="1" applyBorder="1" applyAlignment="1" applyProtection="1">
      <alignment vertical="center"/>
      <protection hidden="1"/>
    </xf>
    <xf numFmtId="0" fontId="0" fillId="0" borderId="41" xfId="0" applyBorder="1" applyAlignment="1" applyProtection="1">
      <alignment vertical="center"/>
      <protection hidden="1"/>
    </xf>
    <xf numFmtId="0" fontId="0" fillId="0" borderId="39" xfId="0" applyBorder="1" applyAlignment="1" applyProtection="1">
      <alignment vertical="center" wrapText="1"/>
      <protection hidden="1"/>
    </xf>
    <xf numFmtId="0" fontId="6" fillId="6" borderId="0" xfId="0" applyFont="1" applyFill="1" applyAlignment="1" applyProtection="1">
      <alignment vertical="center" wrapText="1"/>
      <protection hidden="1"/>
    </xf>
    <xf numFmtId="0" fontId="4" fillId="6" borderId="50" xfId="0" applyFont="1" applyFill="1" applyBorder="1" applyAlignment="1" applyProtection="1">
      <alignment horizontal="right" vertical="center"/>
      <protection hidden="1"/>
    </xf>
    <xf numFmtId="165" fontId="4" fillId="6" borderId="0" xfId="0" applyNumberFormat="1" applyFont="1" applyFill="1" applyAlignment="1" applyProtection="1">
      <alignment horizontal="center" vertical="center"/>
      <protection hidden="1"/>
    </xf>
    <xf numFmtId="0" fontId="7" fillId="6" borderId="0" xfId="0" applyFont="1" applyFill="1" applyAlignment="1" applyProtection="1">
      <alignment vertical="center"/>
      <protection hidden="1"/>
    </xf>
    <xf numFmtId="0" fontId="0" fillId="6" borderId="50" xfId="0" applyFill="1" applyBorder="1" applyAlignment="1" applyProtection="1">
      <alignment vertical="center"/>
      <protection hidden="1"/>
    </xf>
    <xf numFmtId="0" fontId="7" fillId="6" borderId="29" xfId="0" applyFont="1" applyFill="1" applyBorder="1" applyAlignment="1" applyProtection="1">
      <alignment vertical="center"/>
      <protection hidden="1"/>
    </xf>
    <xf numFmtId="0" fontId="7" fillId="6" borderId="30" xfId="0" applyFont="1" applyFill="1" applyBorder="1" applyAlignment="1" applyProtection="1">
      <alignment vertical="center"/>
      <protection hidden="1"/>
    </xf>
    <xf numFmtId="0" fontId="0" fillId="6" borderId="30" xfId="0" applyFill="1" applyBorder="1" applyAlignment="1" applyProtection="1">
      <alignment vertical="center"/>
      <protection hidden="1"/>
    </xf>
    <xf numFmtId="0" fontId="14" fillId="8" borderId="1" xfId="0" applyFont="1" applyFill="1" applyBorder="1" applyAlignment="1" applyProtection="1">
      <alignment vertical="center"/>
      <protection hidden="1"/>
    </xf>
    <xf numFmtId="0" fontId="0" fillId="8" borderId="3" xfId="0" applyFill="1" applyBorder="1" applyAlignment="1" applyProtection="1">
      <alignment vertical="center"/>
      <protection hidden="1"/>
    </xf>
    <xf numFmtId="0" fontId="10" fillId="0" borderId="22" xfId="0" applyFont="1" applyBorder="1" applyAlignment="1" applyProtection="1">
      <alignment horizontal="center" vertical="center" wrapText="1"/>
      <protection hidden="1"/>
    </xf>
    <xf numFmtId="0" fontId="12" fillId="0" borderId="0" xfId="0" applyFont="1" applyAlignment="1" applyProtection="1">
      <alignment horizontal="center" vertical="center"/>
      <protection hidden="1"/>
    </xf>
    <xf numFmtId="0" fontId="13" fillId="6" borderId="33" xfId="0" applyFont="1" applyFill="1" applyBorder="1" applyAlignment="1" applyProtection="1">
      <alignment vertical="center" wrapText="1"/>
      <protection hidden="1"/>
    </xf>
    <xf numFmtId="0" fontId="13" fillId="6" borderId="5" xfId="0" applyFont="1" applyFill="1" applyBorder="1" applyAlignment="1" applyProtection="1">
      <alignment horizontal="left" vertical="center" wrapText="1" indent="1"/>
      <protection hidden="1"/>
    </xf>
    <xf numFmtId="0" fontId="13" fillId="0" borderId="43" xfId="0" applyFont="1" applyBorder="1" applyAlignment="1" applyProtection="1">
      <alignment horizontal="center" vertical="center" wrapText="1"/>
      <protection hidden="1"/>
    </xf>
    <xf numFmtId="164" fontId="13" fillId="0" borderId="43" xfId="0" applyNumberFormat="1" applyFont="1" applyBorder="1" applyAlignment="1" applyProtection="1">
      <alignment horizontal="center" vertical="center" wrapText="1"/>
      <protection hidden="1"/>
    </xf>
    <xf numFmtId="10" fontId="12" fillId="6" borderId="0" xfId="1" applyNumberFormat="1" applyFont="1" applyFill="1" applyAlignment="1" applyProtection="1">
      <alignment horizontal="right" vertical="center"/>
      <protection hidden="1"/>
    </xf>
    <xf numFmtId="9" fontId="0" fillId="6" borderId="0" xfId="1" applyFont="1" applyFill="1" applyAlignment="1" applyProtection="1">
      <alignment vertical="center"/>
      <protection hidden="1"/>
    </xf>
    <xf numFmtId="0" fontId="13" fillId="6" borderId="16" xfId="0" applyFont="1" applyFill="1" applyBorder="1" applyAlignment="1" applyProtection="1">
      <alignment vertical="center" wrapText="1"/>
      <protection hidden="1"/>
    </xf>
    <xf numFmtId="0" fontId="13" fillId="6" borderId="18" xfId="0" applyFont="1" applyFill="1" applyBorder="1" applyAlignment="1" applyProtection="1">
      <alignment horizontal="left" vertical="center" wrapText="1" indent="1"/>
      <protection hidden="1"/>
    </xf>
    <xf numFmtId="0" fontId="13" fillId="0" borderId="44" xfId="0" applyFont="1" applyBorder="1" applyAlignment="1" applyProtection="1">
      <alignment horizontal="center" vertical="center" wrapText="1"/>
      <protection hidden="1"/>
    </xf>
    <xf numFmtId="164" fontId="13" fillId="0" borderId="44" xfId="0" applyNumberFormat="1" applyFont="1" applyBorder="1" applyAlignment="1" applyProtection="1">
      <alignment horizontal="center" vertical="center" wrapText="1"/>
      <protection hidden="1"/>
    </xf>
    <xf numFmtId="10" fontId="12" fillId="6" borderId="0" xfId="1" applyNumberFormat="1" applyFont="1" applyFill="1" applyAlignment="1" applyProtection="1">
      <alignment vertical="center"/>
      <protection hidden="1"/>
    </xf>
    <xf numFmtId="0" fontId="13" fillId="17" borderId="16" xfId="0" applyFont="1" applyFill="1" applyBorder="1" applyAlignment="1" applyProtection="1">
      <alignment vertical="center" wrapText="1"/>
      <protection hidden="1"/>
    </xf>
    <xf numFmtId="0" fontId="13" fillId="17" borderId="18" xfId="0" applyFont="1" applyFill="1" applyBorder="1" applyAlignment="1" applyProtection="1">
      <alignment horizontal="left" vertical="center" wrapText="1" indent="1"/>
      <protection hidden="1"/>
    </xf>
    <xf numFmtId="0" fontId="13" fillId="17" borderId="44" xfId="0" applyFont="1" applyFill="1" applyBorder="1" applyAlignment="1" applyProtection="1">
      <alignment horizontal="center" vertical="center" wrapText="1"/>
      <protection hidden="1"/>
    </xf>
    <xf numFmtId="164" fontId="13" fillId="17" borderId="44" xfId="0" applyNumberFormat="1" applyFont="1" applyFill="1" applyBorder="1" applyAlignment="1" applyProtection="1">
      <alignment horizontal="center" vertical="center" wrapText="1"/>
      <protection hidden="1"/>
    </xf>
    <xf numFmtId="0" fontId="13" fillId="6" borderId="32" xfId="0" applyFont="1" applyFill="1" applyBorder="1" applyAlignment="1" applyProtection="1">
      <alignment vertical="center" wrapText="1"/>
      <protection hidden="1"/>
    </xf>
    <xf numFmtId="0" fontId="13" fillId="6" borderId="8" xfId="0" applyFont="1" applyFill="1" applyBorder="1" applyAlignment="1" applyProtection="1">
      <alignment horizontal="left" vertical="center" wrapText="1" indent="1"/>
      <protection hidden="1"/>
    </xf>
    <xf numFmtId="0" fontId="13" fillId="0" borderId="45" xfId="0" applyFont="1" applyBorder="1" applyAlignment="1" applyProtection="1">
      <alignment horizontal="center" vertical="center" wrapText="1"/>
      <protection hidden="1"/>
    </xf>
    <xf numFmtId="164" fontId="13" fillId="0" borderId="45" xfId="0" applyNumberFormat="1" applyFont="1" applyBorder="1" applyAlignment="1" applyProtection="1">
      <alignment horizontal="center" vertical="center" wrapText="1"/>
      <protection hidden="1"/>
    </xf>
    <xf numFmtId="0" fontId="7" fillId="6" borderId="50" xfId="0" applyFont="1" applyFill="1" applyBorder="1" applyAlignment="1" applyProtection="1">
      <alignment vertical="center"/>
      <protection hidden="1"/>
    </xf>
    <xf numFmtId="9" fontId="12" fillId="6" borderId="0" xfId="1" applyFont="1" applyFill="1" applyAlignment="1" applyProtection="1">
      <alignment vertical="center"/>
      <protection hidden="1"/>
    </xf>
    <xf numFmtId="9" fontId="6" fillId="6" borderId="0" xfId="1" applyFont="1" applyFill="1" applyAlignment="1" applyProtection="1">
      <alignment vertical="center"/>
      <protection hidden="1"/>
    </xf>
    <xf numFmtId="166" fontId="0" fillId="0" borderId="0" xfId="0" applyNumberFormat="1" applyAlignment="1" applyProtection="1">
      <alignment vertical="center"/>
      <protection hidden="1"/>
    </xf>
    <xf numFmtId="0" fontId="14" fillId="8" borderId="1" xfId="0" applyFont="1" applyFill="1" applyBorder="1" applyAlignment="1" applyProtection="1">
      <alignment horizontal="left" vertical="center"/>
      <protection hidden="1"/>
    </xf>
    <xf numFmtId="0" fontId="14" fillId="8" borderId="2" xfId="0" applyFont="1" applyFill="1" applyBorder="1" applyAlignment="1" applyProtection="1">
      <alignment horizontal="left" vertical="center"/>
      <protection hidden="1"/>
    </xf>
    <xf numFmtId="0" fontId="14" fillId="8" borderId="3" xfId="0" applyFont="1" applyFill="1" applyBorder="1" applyAlignment="1" applyProtection="1">
      <alignment horizontal="left" vertical="center"/>
      <protection hidden="1"/>
    </xf>
    <xf numFmtId="0" fontId="13" fillId="6" borderId="0" xfId="0" applyFont="1" applyFill="1" applyAlignment="1" applyProtection="1">
      <alignment horizontal="center" vertical="center" wrapText="1"/>
      <protection hidden="1"/>
    </xf>
    <xf numFmtId="0" fontId="2" fillId="6" borderId="0" xfId="0" applyFont="1" applyFill="1" applyAlignment="1" applyProtection="1">
      <alignment horizontal="left" vertical="center" wrapText="1"/>
      <protection hidden="1"/>
    </xf>
    <xf numFmtId="0" fontId="4" fillId="8" borderId="10" xfId="0" applyFont="1" applyFill="1" applyBorder="1" applyAlignment="1" applyProtection="1">
      <alignment vertical="center"/>
      <protection hidden="1"/>
    </xf>
    <xf numFmtId="0" fontId="0" fillId="8" borderId="10" xfId="0" applyFill="1" applyBorder="1" applyAlignment="1" applyProtection="1">
      <alignment horizontal="center" vertical="center"/>
      <protection hidden="1"/>
    </xf>
    <xf numFmtId="0" fontId="0" fillId="8" borderId="34" xfId="0" applyFill="1"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0" fillId="0" borderId="14" xfId="0" applyBorder="1" applyAlignment="1" applyProtection="1">
      <alignment horizontal="center" vertical="center"/>
      <protection hidden="1"/>
    </xf>
    <xf numFmtId="0" fontId="0" fillId="0" borderId="19" xfId="0" applyBorder="1" applyAlignment="1" applyProtection="1">
      <alignment horizontal="center" vertical="center"/>
      <protection hidden="1"/>
    </xf>
    <xf numFmtId="0" fontId="8" fillId="6" borderId="50" xfId="0" applyFont="1" applyFill="1" applyBorder="1" applyAlignment="1" applyProtection="1">
      <alignment vertical="center" wrapText="1"/>
      <protection hidden="1"/>
    </xf>
    <xf numFmtId="0" fontId="8" fillId="6" borderId="0" xfId="0" applyFont="1" applyFill="1" applyAlignment="1" applyProtection="1">
      <alignment vertical="center" wrapText="1"/>
      <protection hidden="1"/>
    </xf>
    <xf numFmtId="0" fontId="14" fillId="7" borderId="34" xfId="0" applyFont="1" applyFill="1" applyBorder="1" applyAlignment="1" applyProtection="1">
      <alignment vertical="center"/>
      <protection hidden="1"/>
    </xf>
    <xf numFmtId="0" fontId="15" fillId="2" borderId="10" xfId="0" applyFont="1" applyFill="1" applyBorder="1" applyAlignment="1" applyProtection="1">
      <alignment horizontal="center" vertical="center"/>
      <protection hidden="1"/>
    </xf>
    <xf numFmtId="0" fontId="15" fillId="2" borderId="34" xfId="0" applyFont="1" applyFill="1" applyBorder="1" applyAlignment="1" applyProtection="1">
      <alignment horizontal="center" vertical="center"/>
      <protection hidden="1"/>
    </xf>
    <xf numFmtId="0" fontId="0" fillId="0" borderId="54" xfId="0" applyBorder="1" applyAlignment="1" applyProtection="1">
      <alignment vertical="center"/>
      <protection hidden="1"/>
    </xf>
    <xf numFmtId="0" fontId="13" fillId="0" borderId="33" xfId="0" applyFont="1" applyBorder="1" applyAlignment="1" applyProtection="1">
      <alignment vertical="center" wrapText="1"/>
      <protection hidden="1"/>
    </xf>
    <xf numFmtId="0" fontId="13" fillId="0" borderId="16" xfId="0" applyFont="1" applyBorder="1" applyAlignment="1" applyProtection="1">
      <alignment vertical="center" wrapText="1"/>
      <protection hidden="1"/>
    </xf>
    <xf numFmtId="0" fontId="13" fillId="0" borderId="32" xfId="0" applyFont="1" applyBorder="1" applyAlignment="1" applyProtection="1">
      <alignment vertical="center" wrapText="1"/>
      <protection hidden="1"/>
    </xf>
    <xf numFmtId="0" fontId="14" fillId="7" borderId="22" xfId="0" applyFont="1" applyFill="1" applyBorder="1" applyAlignment="1" applyProtection="1">
      <alignment vertical="center"/>
      <protection hidden="1"/>
    </xf>
    <xf numFmtId="0" fontId="0" fillId="6" borderId="54" xfId="0" applyFill="1" applyBorder="1" applyAlignment="1" applyProtection="1">
      <alignment vertical="center" wrapText="1"/>
      <protection hidden="1"/>
    </xf>
    <xf numFmtId="0" fontId="0" fillId="18" borderId="0" xfId="0" applyFill="1" applyAlignment="1" applyProtection="1">
      <alignment vertical="center"/>
      <protection hidden="1"/>
    </xf>
    <xf numFmtId="0" fontId="0" fillId="6" borderId="0" xfId="0" applyFill="1" applyAlignment="1" applyProtection="1">
      <alignment horizontal="right" vertical="center"/>
      <protection hidden="1"/>
    </xf>
    <xf numFmtId="4" fontId="0" fillId="6" borderId="0" xfId="0" applyNumberFormat="1" applyFill="1" applyAlignment="1" applyProtection="1">
      <alignment horizontal="center" vertical="center"/>
      <protection hidden="1"/>
    </xf>
    <xf numFmtId="0" fontId="0" fillId="6" borderId="0" xfId="0" applyFill="1" applyAlignment="1" applyProtection="1">
      <alignment horizontal="left" vertical="center" wrapText="1"/>
      <protection hidden="1"/>
    </xf>
    <xf numFmtId="0" fontId="0" fillId="6" borderId="0" xfId="0" applyFill="1" applyAlignment="1" applyProtection="1">
      <alignment horizontal="left" vertical="center"/>
      <protection hidden="1"/>
    </xf>
    <xf numFmtId="0" fontId="0" fillId="0" borderId="22" xfId="0" applyBorder="1" applyAlignment="1" applyProtection="1">
      <alignment horizontal="left" vertical="center" wrapText="1"/>
      <protection hidden="1"/>
    </xf>
    <xf numFmtId="0" fontId="0" fillId="0" borderId="3" xfId="0" applyBorder="1" applyAlignment="1" applyProtection="1">
      <alignment horizontal="left" vertical="center" wrapText="1"/>
      <protection hidden="1"/>
    </xf>
    <xf numFmtId="0" fontId="0" fillId="9" borderId="54" xfId="0" applyFill="1" applyBorder="1" applyAlignment="1" applyProtection="1">
      <alignment vertical="center"/>
      <protection hidden="1"/>
    </xf>
    <xf numFmtId="0" fontId="0" fillId="9" borderId="0" xfId="0" applyFill="1" applyAlignment="1" applyProtection="1">
      <alignment horizontal="center" vertical="center"/>
      <protection hidden="1"/>
    </xf>
    <xf numFmtId="0" fontId="0" fillId="6" borderId="0" xfId="0" applyFill="1" applyAlignment="1" applyProtection="1">
      <alignment horizontal="center" vertical="center"/>
      <protection hidden="1"/>
    </xf>
    <xf numFmtId="0" fontId="0" fillId="16" borderId="0" xfId="0" applyFill="1" applyAlignment="1" applyProtection="1">
      <alignment vertical="center"/>
      <protection hidden="1"/>
    </xf>
    <xf numFmtId="0" fontId="14" fillId="4" borderId="22" xfId="0" applyFont="1" applyFill="1" applyBorder="1" applyAlignment="1" applyProtection="1">
      <alignment vertical="center"/>
      <protection hidden="1"/>
    </xf>
    <xf numFmtId="0" fontId="14" fillId="17" borderId="34" xfId="0" applyFont="1" applyFill="1" applyBorder="1" applyAlignment="1" applyProtection="1">
      <alignment vertical="center"/>
      <protection hidden="1"/>
    </xf>
    <xf numFmtId="0" fontId="14" fillId="17" borderId="34" xfId="0" applyFont="1" applyFill="1" applyBorder="1" applyAlignment="1" applyProtection="1">
      <alignment horizontal="center" vertical="center"/>
      <protection hidden="1"/>
    </xf>
    <xf numFmtId="49" fontId="0" fillId="0" borderId="25" xfId="0" applyNumberFormat="1" applyBorder="1" applyAlignment="1" applyProtection="1">
      <alignment horizontal="center" vertical="center"/>
      <protection hidden="1"/>
    </xf>
    <xf numFmtId="49" fontId="0" fillId="0" borderId="15" xfId="0" applyNumberFormat="1" applyBorder="1" applyAlignment="1" applyProtection="1">
      <alignment horizontal="center" vertical="center"/>
      <protection hidden="1"/>
    </xf>
    <xf numFmtId="0" fontId="0" fillId="0" borderId="6" xfId="0" applyBorder="1" applyAlignment="1" applyProtection="1">
      <alignment horizontal="left" vertical="center" wrapText="1"/>
      <protection hidden="1"/>
    </xf>
    <xf numFmtId="49" fontId="0" fillId="0" borderId="20" xfId="0" applyNumberFormat="1" applyBorder="1" applyAlignment="1" applyProtection="1">
      <alignment horizontal="center" vertical="center"/>
      <protection hidden="1"/>
    </xf>
    <xf numFmtId="0" fontId="0" fillId="0" borderId="26" xfId="0" applyBorder="1" applyAlignment="1" applyProtection="1">
      <alignment horizontal="center" vertical="center"/>
      <protection hidden="1"/>
    </xf>
    <xf numFmtId="49" fontId="0" fillId="0" borderId="38" xfId="0" applyNumberFormat="1" applyBorder="1" applyAlignment="1" applyProtection="1">
      <alignment horizontal="center" vertical="center"/>
      <protection hidden="1"/>
    </xf>
    <xf numFmtId="0" fontId="0" fillId="0" borderId="37" xfId="0" applyBorder="1" applyAlignment="1" applyProtection="1">
      <alignment vertical="center" wrapText="1"/>
      <protection hidden="1"/>
    </xf>
    <xf numFmtId="0" fontId="0" fillId="0" borderId="41" xfId="0" applyBorder="1" applyAlignment="1" applyProtection="1">
      <alignment horizontal="left" vertical="center" wrapText="1"/>
      <protection hidden="1"/>
    </xf>
    <xf numFmtId="0" fontId="0" fillId="0" borderId="56" xfId="0" applyBorder="1" applyAlignment="1" applyProtection="1">
      <alignment horizontal="center" vertical="center"/>
      <protection hidden="1"/>
    </xf>
    <xf numFmtId="49" fontId="0" fillId="0" borderId="42" xfId="0" applyNumberFormat="1" applyBorder="1" applyAlignment="1" applyProtection="1">
      <alignment horizontal="center" vertical="center"/>
      <protection hidden="1"/>
    </xf>
    <xf numFmtId="0" fontId="12" fillId="6" borderId="3" xfId="0" applyFont="1" applyFill="1" applyBorder="1" applyAlignment="1" applyProtection="1">
      <alignment vertical="center" wrapText="1"/>
      <protection locked="0" hidden="1"/>
    </xf>
    <xf numFmtId="0" fontId="12" fillId="6" borderId="0" xfId="0" applyFont="1" applyFill="1" applyAlignment="1" applyProtection="1">
      <alignment vertical="center"/>
      <protection hidden="1"/>
    </xf>
    <xf numFmtId="0" fontId="0" fillId="6" borderId="0" xfId="0" applyFill="1" applyProtection="1">
      <protection hidden="1"/>
    </xf>
    <xf numFmtId="0" fontId="12" fillId="6" borderId="0" xfId="0" applyFont="1" applyFill="1" applyProtection="1">
      <protection hidden="1"/>
    </xf>
    <xf numFmtId="0" fontId="16" fillId="6" borderId="0" xfId="0" applyFont="1" applyFill="1" applyAlignment="1" applyProtection="1">
      <alignment horizontal="left" vertical="center"/>
      <protection hidden="1"/>
    </xf>
    <xf numFmtId="0" fontId="16" fillId="6" borderId="0" xfId="0" applyFont="1" applyFill="1" applyAlignment="1" applyProtection="1">
      <alignment vertical="center"/>
      <protection hidden="1"/>
    </xf>
    <xf numFmtId="0" fontId="15" fillId="6" borderId="17" xfId="0" applyFont="1" applyFill="1" applyBorder="1" applyProtection="1">
      <protection hidden="1"/>
    </xf>
    <xf numFmtId="0" fontId="15" fillId="6" borderId="47" xfId="0" applyFont="1" applyFill="1" applyBorder="1" applyAlignment="1" applyProtection="1">
      <alignment horizontal="left" vertical="center"/>
      <protection hidden="1"/>
    </xf>
    <xf numFmtId="0" fontId="15" fillId="6" borderId="18" xfId="0" applyFont="1" applyFill="1" applyBorder="1" applyProtection="1">
      <protection hidden="1"/>
    </xf>
    <xf numFmtId="0" fontId="15" fillId="6" borderId="0" xfId="0" applyFont="1" applyFill="1" applyProtection="1">
      <protection hidden="1"/>
    </xf>
    <xf numFmtId="0" fontId="19" fillId="6" borderId="23" xfId="0" applyFont="1" applyFill="1" applyBorder="1" applyAlignment="1" applyProtection="1">
      <alignment horizontal="center" vertical="center" wrapText="1"/>
      <protection hidden="1"/>
    </xf>
    <xf numFmtId="0" fontId="31" fillId="6" borderId="0" xfId="0" applyFont="1" applyFill="1" applyProtection="1">
      <protection hidden="1"/>
    </xf>
    <xf numFmtId="0" fontId="15" fillId="6" borderId="6" xfId="0" applyFont="1" applyFill="1" applyBorder="1" applyAlignment="1" applyProtection="1">
      <alignment horizontal="center"/>
      <protection hidden="1"/>
    </xf>
    <xf numFmtId="0" fontId="31" fillId="6" borderId="0" xfId="0" applyFont="1" applyFill="1" applyAlignment="1" applyProtection="1">
      <alignment horizontal="center"/>
      <protection hidden="1"/>
    </xf>
    <xf numFmtId="0" fontId="12" fillId="6" borderId="0" xfId="0" applyFont="1" applyFill="1" applyAlignment="1" applyProtection="1">
      <alignment horizontal="center"/>
      <protection hidden="1"/>
    </xf>
    <xf numFmtId="0" fontId="15" fillId="6" borderId="0" xfId="0" applyFont="1" applyFill="1" applyAlignment="1" applyProtection="1">
      <alignment horizontal="center" vertical="center"/>
      <protection hidden="1"/>
    </xf>
    <xf numFmtId="0" fontId="14" fillId="6" borderId="22" xfId="0" applyFont="1" applyFill="1" applyBorder="1" applyAlignment="1" applyProtection="1">
      <alignment horizontal="center" vertical="center"/>
      <protection hidden="1"/>
    </xf>
    <xf numFmtId="0" fontId="14" fillId="6" borderId="22" xfId="0" applyFont="1" applyFill="1" applyBorder="1" applyAlignment="1" applyProtection="1">
      <alignment horizontal="center" vertical="center" textRotation="90"/>
      <protection hidden="1"/>
    </xf>
    <xf numFmtId="49" fontId="15" fillId="6" borderId="1" xfId="0" applyNumberFormat="1" applyFont="1" applyFill="1" applyBorder="1" applyAlignment="1" applyProtection="1">
      <alignment horizontal="center" vertical="center"/>
      <protection hidden="1"/>
    </xf>
    <xf numFmtId="0" fontId="14" fillId="6" borderId="0" xfId="0" applyFont="1" applyFill="1" applyAlignment="1" applyProtection="1">
      <alignment horizontal="center" vertical="center"/>
      <protection hidden="1"/>
    </xf>
    <xf numFmtId="1" fontId="15" fillId="6" borderId="0" xfId="0" applyNumberFormat="1" applyFont="1" applyFill="1" applyProtection="1">
      <protection hidden="1"/>
    </xf>
    <xf numFmtId="0" fontId="14" fillId="6" borderId="22" xfId="0" applyFont="1" applyFill="1" applyBorder="1" applyAlignment="1" applyProtection="1">
      <alignment horizontal="center" vertical="center" wrapText="1"/>
      <protection hidden="1"/>
    </xf>
    <xf numFmtId="0" fontId="31" fillId="6" borderId="0" xfId="0" applyFont="1" applyFill="1" applyAlignment="1" applyProtection="1">
      <alignment horizontal="center" vertical="center"/>
      <protection hidden="1"/>
    </xf>
    <xf numFmtId="0" fontId="0" fillId="3" borderId="0" xfId="0" applyFill="1" applyProtection="1">
      <protection hidden="1"/>
    </xf>
    <xf numFmtId="0" fontId="15" fillId="6" borderId="0" xfId="0" applyFont="1" applyFill="1" applyAlignment="1" applyProtection="1">
      <alignment wrapText="1"/>
      <protection hidden="1"/>
    </xf>
    <xf numFmtId="1" fontId="33" fillId="3" borderId="0" xfId="0" applyNumberFormat="1" applyFont="1" applyFill="1" applyProtection="1">
      <protection hidden="1"/>
    </xf>
    <xf numFmtId="0" fontId="19" fillId="6" borderId="0" xfId="0" applyFont="1" applyFill="1" applyAlignment="1" applyProtection="1">
      <alignment horizontal="center"/>
      <protection hidden="1"/>
    </xf>
    <xf numFmtId="0" fontId="12" fillId="0" borderId="0" xfId="0" applyFont="1" applyProtection="1">
      <protection hidden="1"/>
    </xf>
    <xf numFmtId="0" fontId="0" fillId="6" borderId="0" xfId="0" applyFill="1" applyProtection="1">
      <protection locked="0" hidden="1"/>
    </xf>
    <xf numFmtId="0" fontId="15" fillId="6" borderId="0" xfId="0" applyFont="1" applyFill="1" applyProtection="1">
      <protection locked="0" hidden="1"/>
    </xf>
    <xf numFmtId="0" fontId="31" fillId="6" borderId="0" xfId="0" applyFont="1" applyFill="1" applyProtection="1">
      <protection locked="0" hidden="1"/>
    </xf>
    <xf numFmtId="0" fontId="0" fillId="0" borderId="23" xfId="0" applyBorder="1" applyAlignment="1" applyProtection="1">
      <alignment horizontal="left" vertical="center" wrapText="1"/>
      <protection hidden="1"/>
    </xf>
    <xf numFmtId="0" fontId="0" fillId="0" borderId="13" xfId="0" applyBorder="1" applyAlignment="1" applyProtection="1">
      <alignment horizontal="left" vertical="center" wrapText="1"/>
      <protection hidden="1"/>
    </xf>
    <xf numFmtId="0" fontId="0" fillId="0" borderId="0" xfId="0" applyAlignment="1">
      <alignment horizontal="right" vertical="center"/>
    </xf>
    <xf numFmtId="0" fontId="40" fillId="0" borderId="0" xfId="0" applyFont="1" applyAlignment="1">
      <alignment vertical="center"/>
    </xf>
    <xf numFmtId="0" fontId="40" fillId="0" borderId="0" xfId="0" applyFont="1" applyAlignment="1">
      <alignment horizontal="center" vertical="center"/>
    </xf>
    <xf numFmtId="0" fontId="40" fillId="0" borderId="0" xfId="0" applyFont="1" applyAlignment="1">
      <alignment horizontal="right" vertical="center"/>
    </xf>
    <xf numFmtId="0" fontId="15" fillId="6" borderId="47" xfId="0" applyFont="1" applyFill="1" applyBorder="1" applyProtection="1">
      <protection hidden="1"/>
    </xf>
    <xf numFmtId="0" fontId="16" fillId="6" borderId="0" xfId="0" applyFont="1" applyFill="1" applyAlignment="1" applyProtection="1">
      <alignment horizontal="right" vertical="center"/>
      <protection hidden="1"/>
    </xf>
    <xf numFmtId="0" fontId="38" fillId="6" borderId="0" xfId="0" applyFont="1" applyFill="1" applyAlignment="1">
      <alignment vertical="center"/>
    </xf>
    <xf numFmtId="0" fontId="0" fillId="0" borderId="37" xfId="0" applyBorder="1" applyAlignment="1" applyProtection="1">
      <alignment horizontal="left" vertical="center" wrapText="1"/>
      <protection hidden="1"/>
    </xf>
    <xf numFmtId="0" fontId="0" fillId="0" borderId="23" xfId="0" applyBorder="1" applyAlignment="1" applyProtection="1">
      <alignment vertical="center" wrapText="1"/>
      <protection hidden="1"/>
    </xf>
    <xf numFmtId="0" fontId="0" fillId="0" borderId="13" xfId="0" applyBorder="1" applyAlignment="1" applyProtection="1">
      <alignment vertical="center" wrapText="1"/>
      <protection hidden="1"/>
    </xf>
    <xf numFmtId="0" fontId="14" fillId="6" borderId="0" xfId="0" applyFont="1" applyFill="1" applyAlignment="1" applyProtection="1">
      <alignment vertical="center"/>
      <protection hidden="1"/>
    </xf>
    <xf numFmtId="0" fontId="1" fillId="6" borderId="4" xfId="0" applyFont="1" applyFill="1" applyBorder="1" applyAlignment="1">
      <alignment vertical="center" wrapText="1"/>
    </xf>
    <xf numFmtId="0" fontId="1" fillId="6" borderId="5" xfId="0" applyFont="1" applyFill="1" applyBorder="1" applyAlignment="1">
      <alignment vertical="center" wrapText="1"/>
    </xf>
    <xf numFmtId="0" fontId="1" fillId="6" borderId="17" xfId="0" applyFont="1" applyFill="1" applyBorder="1" applyAlignment="1">
      <alignment vertical="center"/>
    </xf>
    <xf numFmtId="0" fontId="1" fillId="6" borderId="18" xfId="0" applyFont="1" applyFill="1" applyBorder="1" applyAlignment="1">
      <alignment vertical="center"/>
    </xf>
    <xf numFmtId="0" fontId="0" fillId="0" borderId="6" xfId="0" applyBorder="1" applyAlignment="1" applyProtection="1">
      <alignment vertical="center" wrapText="1"/>
      <protection hidden="1"/>
    </xf>
    <xf numFmtId="165" fontId="0" fillId="0" borderId="25" xfId="0" applyNumberFormat="1" applyBorder="1" applyAlignment="1" applyProtection="1">
      <alignment horizontal="center" vertical="center"/>
      <protection locked="0"/>
    </xf>
    <xf numFmtId="165" fontId="0" fillId="0" borderId="20" xfId="0" applyNumberFormat="1" applyBorder="1" applyAlignment="1" applyProtection="1">
      <alignment horizontal="center" vertical="center"/>
      <protection locked="0"/>
    </xf>
    <xf numFmtId="165" fontId="0" fillId="0" borderId="52" xfId="0" applyNumberFormat="1" applyBorder="1" applyAlignment="1" applyProtection="1">
      <alignment horizontal="center" vertical="center"/>
      <protection locked="0"/>
    </xf>
    <xf numFmtId="165" fontId="0" fillId="0" borderId="63" xfId="0" applyNumberFormat="1" applyBorder="1" applyAlignment="1" applyProtection="1">
      <alignment horizontal="center" vertical="center"/>
      <protection locked="0"/>
    </xf>
    <xf numFmtId="165" fontId="0" fillId="0" borderId="42" xfId="0" applyNumberFormat="1" applyBorder="1" applyAlignment="1" applyProtection="1">
      <alignment horizontal="center" vertical="center"/>
      <protection locked="0"/>
    </xf>
    <xf numFmtId="165" fontId="0" fillId="0" borderId="40" xfId="0" applyNumberFormat="1" applyBorder="1" applyAlignment="1" applyProtection="1">
      <alignment horizontal="center" vertical="center"/>
      <protection locked="0"/>
    </xf>
    <xf numFmtId="164" fontId="13" fillId="6" borderId="43" xfId="0" applyNumberFormat="1" applyFont="1" applyFill="1" applyBorder="1" applyAlignment="1" applyProtection="1">
      <alignment horizontal="center" vertical="center" wrapText="1"/>
      <protection locked="0"/>
    </xf>
    <xf numFmtId="164" fontId="13" fillId="6" borderId="44" xfId="0" applyNumberFormat="1" applyFont="1" applyFill="1" applyBorder="1" applyAlignment="1" applyProtection="1">
      <alignment horizontal="center" vertical="center" wrapText="1"/>
      <protection locked="0"/>
    </xf>
    <xf numFmtId="164" fontId="13" fillId="17" borderId="44" xfId="0" applyNumberFormat="1" applyFont="1" applyFill="1" applyBorder="1" applyAlignment="1" applyProtection="1">
      <alignment horizontal="center" vertical="center" wrapText="1"/>
      <protection locked="0"/>
    </xf>
    <xf numFmtId="164" fontId="13" fillId="6" borderId="45" xfId="0" applyNumberFormat="1" applyFont="1" applyFill="1" applyBorder="1" applyAlignment="1" applyProtection="1">
      <alignment horizontal="center" vertical="center" wrapText="1"/>
      <protection locked="0"/>
    </xf>
    <xf numFmtId="1" fontId="13" fillId="0" borderId="5" xfId="0" applyNumberFormat="1" applyFont="1" applyBorder="1" applyAlignment="1" applyProtection="1">
      <alignment horizontal="center" vertical="center" wrapText="1"/>
      <protection locked="0"/>
    </xf>
    <xf numFmtId="168" fontId="13" fillId="0" borderId="18" xfId="0" applyNumberFormat="1" applyFont="1" applyBorder="1" applyAlignment="1" applyProtection="1">
      <alignment horizontal="center" vertical="center" wrapText="1"/>
      <protection locked="0"/>
    </xf>
    <xf numFmtId="0" fontId="0" fillId="0" borderId="42"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168" fontId="0" fillId="0" borderId="20" xfId="0" applyNumberFormat="1"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13" fillId="0" borderId="23" xfId="0" applyFont="1" applyBorder="1" applyAlignment="1" applyProtection="1">
      <alignment horizontal="left" vertical="center" wrapText="1"/>
      <protection locked="0"/>
    </xf>
    <xf numFmtId="0" fontId="0" fillId="0" borderId="24"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13" fillId="0" borderId="35" xfId="0" applyFont="1" applyBorder="1" applyAlignment="1" applyProtection="1">
      <alignment horizontal="left" vertical="center" wrapText="1"/>
      <protection locked="0"/>
    </xf>
    <xf numFmtId="0" fontId="0" fillId="0" borderId="28"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13" fillId="0" borderId="13" xfId="0" applyFont="1" applyBorder="1" applyAlignment="1" applyProtection="1">
      <alignment horizontal="left" vertical="center" wrapText="1"/>
      <protection locked="0"/>
    </xf>
    <xf numFmtId="0" fontId="0" fillId="0" borderId="14"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13" fillId="0" borderId="6" xfId="0" applyFont="1" applyBorder="1" applyAlignment="1" applyProtection="1">
      <alignment horizontal="left" vertical="center" wrapText="1"/>
      <protection locked="0"/>
    </xf>
    <xf numFmtId="0" fontId="0" fillId="0" borderId="19"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4" fontId="0" fillId="0" borderId="53" xfId="0" applyNumberFormat="1" applyBorder="1" applyAlignment="1" applyProtection="1">
      <alignment horizontal="center" vertical="center"/>
      <protection locked="0"/>
    </xf>
    <xf numFmtId="4" fontId="0" fillId="0" borderId="43" xfId="0" applyNumberFormat="1" applyBorder="1" applyAlignment="1" applyProtection="1">
      <alignment horizontal="center" vertical="center"/>
      <protection locked="0"/>
    </xf>
    <xf numFmtId="4" fontId="0" fillId="0" borderId="44" xfId="0" applyNumberFormat="1" applyBorder="1" applyAlignment="1" applyProtection="1">
      <alignment horizontal="center" vertical="center"/>
      <protection locked="0"/>
    </xf>
    <xf numFmtId="4" fontId="0" fillId="0" borderId="45" xfId="0" applyNumberFormat="1" applyBorder="1" applyAlignment="1" applyProtection="1">
      <alignment horizontal="center" vertical="center"/>
      <protection locked="0"/>
    </xf>
    <xf numFmtId="3" fontId="0" fillId="0" borderId="46" xfId="0" applyNumberFormat="1" applyBorder="1" applyAlignment="1" applyProtection="1">
      <alignment horizontal="center" vertical="center"/>
      <protection locked="0"/>
    </xf>
    <xf numFmtId="3" fontId="0" fillId="0" borderId="22" xfId="0" applyNumberFormat="1" applyBorder="1" applyAlignment="1" applyProtection="1">
      <alignment horizontal="center" vertical="center"/>
      <protection locked="0"/>
    </xf>
    <xf numFmtId="4" fontId="13" fillId="0" borderId="43" xfId="0" applyNumberFormat="1" applyFont="1" applyBorder="1" applyAlignment="1" applyProtection="1">
      <alignment horizontal="center" vertical="center" wrapText="1"/>
      <protection locked="0"/>
    </xf>
    <xf numFmtId="4" fontId="13" fillId="0" borderId="44" xfId="0" applyNumberFormat="1" applyFont="1" applyBorder="1" applyAlignment="1" applyProtection="1">
      <alignment horizontal="center" vertical="center" wrapText="1"/>
      <protection locked="0"/>
    </xf>
    <xf numFmtId="4" fontId="13" fillId="0" borderId="45" xfId="0" applyNumberFormat="1" applyFont="1" applyBorder="1" applyAlignment="1" applyProtection="1">
      <alignment horizontal="center" vertical="center" wrapText="1"/>
      <protection locked="0"/>
    </xf>
    <xf numFmtId="0" fontId="0" fillId="0" borderId="12" xfId="0" applyBorder="1" applyAlignment="1" applyProtection="1">
      <alignment horizontal="center" vertical="center"/>
      <protection locked="0"/>
    </xf>
    <xf numFmtId="4" fontId="0" fillId="0" borderId="5" xfId="0" applyNumberFormat="1" applyBorder="1" applyAlignment="1" applyProtection="1">
      <alignment horizontal="center" vertical="center"/>
      <protection locked="0"/>
    </xf>
    <xf numFmtId="0" fontId="0" fillId="0" borderId="16" xfId="0" applyBorder="1" applyAlignment="1" applyProtection="1">
      <alignment horizontal="center" vertical="center"/>
      <protection locked="0"/>
    </xf>
    <xf numFmtId="4" fontId="0" fillId="0" borderId="18" xfId="0" applyNumberFormat="1" applyBorder="1" applyAlignment="1" applyProtection="1">
      <alignment horizontal="center" vertical="center"/>
      <protection locked="0"/>
    </xf>
    <xf numFmtId="0" fontId="0" fillId="0" borderId="57" xfId="0" applyBorder="1" applyAlignment="1" applyProtection="1">
      <alignment horizontal="center" vertical="center"/>
      <protection locked="0"/>
    </xf>
    <xf numFmtId="4" fontId="0" fillId="0" borderId="58" xfId="0" applyNumberFormat="1" applyBorder="1" applyAlignment="1" applyProtection="1">
      <alignment horizontal="center" vertical="center"/>
      <protection locked="0"/>
    </xf>
    <xf numFmtId="4" fontId="0" fillId="0" borderId="59" xfId="0" applyNumberForma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6" borderId="24" xfId="0" applyNumberFormat="1" applyFill="1" applyBorder="1" applyAlignment="1" applyProtection="1">
      <alignment horizontal="center" vertical="center"/>
      <protection locked="0"/>
    </xf>
    <xf numFmtId="4" fontId="0" fillId="6" borderId="14" xfId="0" applyNumberFormat="1" applyFill="1" applyBorder="1" applyAlignment="1" applyProtection="1">
      <alignment horizontal="center" vertical="center"/>
      <protection locked="0"/>
    </xf>
    <xf numFmtId="4" fontId="0" fillId="6" borderId="19" xfId="0" applyNumberFormat="1" applyFill="1" applyBorder="1" applyAlignment="1" applyProtection="1">
      <alignment horizontal="center" vertical="center"/>
      <protection locked="0"/>
    </xf>
    <xf numFmtId="4" fontId="0" fillId="6" borderId="0" xfId="0" applyNumberFormat="1" applyFill="1" applyAlignment="1" applyProtection="1">
      <alignment vertical="center"/>
      <protection hidden="1"/>
    </xf>
    <xf numFmtId="169" fontId="0" fillId="0" borderId="0" xfId="0" applyNumberFormat="1" applyAlignment="1">
      <alignment horizontal="center" vertical="center"/>
    </xf>
    <xf numFmtId="3" fontId="0" fillId="0" borderId="36"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3" fontId="13" fillId="0" borderId="18" xfId="0" applyNumberFormat="1" applyFont="1" applyBorder="1" applyAlignment="1" applyProtection="1">
      <alignment horizontal="center" vertical="center" wrapText="1"/>
      <protection locked="0"/>
    </xf>
    <xf numFmtId="3" fontId="13" fillId="0" borderId="8" xfId="0" applyNumberFormat="1" applyFont="1" applyBorder="1" applyAlignment="1" applyProtection="1">
      <alignment horizontal="center" vertical="center" wrapText="1"/>
      <protection locked="0"/>
    </xf>
    <xf numFmtId="3" fontId="0" fillId="0" borderId="25" xfId="0" applyNumberFormat="1" applyBorder="1" applyAlignment="1" applyProtection="1">
      <alignment horizontal="center" vertical="center"/>
      <protection locked="0"/>
    </xf>
    <xf numFmtId="3" fontId="0" fillId="0" borderId="20" xfId="0" applyNumberFormat="1" applyBorder="1" applyAlignment="1" applyProtection="1">
      <alignment horizontal="center" vertical="center"/>
      <protection locked="0"/>
    </xf>
    <xf numFmtId="3" fontId="0" fillId="0" borderId="38" xfId="0" applyNumberFormat="1" applyBorder="1" applyAlignment="1" applyProtection="1">
      <alignment horizontal="center" vertical="center"/>
      <protection locked="0"/>
    </xf>
    <xf numFmtId="3" fontId="13" fillId="0" borderId="24" xfId="0" applyNumberFormat="1" applyFont="1" applyBorder="1" applyAlignment="1" applyProtection="1">
      <alignment horizontal="center" vertical="center" wrapText="1"/>
      <protection locked="0"/>
    </xf>
    <xf numFmtId="3" fontId="13" fillId="0" borderId="28" xfId="0" applyNumberFormat="1" applyFont="1" applyBorder="1" applyAlignment="1" applyProtection="1">
      <alignment horizontal="center" vertical="center" wrapText="1"/>
      <protection locked="0"/>
    </xf>
    <xf numFmtId="3" fontId="13" fillId="0" borderId="14" xfId="0" applyNumberFormat="1" applyFont="1" applyBorder="1" applyAlignment="1" applyProtection="1">
      <alignment horizontal="center" vertical="center" wrapText="1"/>
      <protection locked="0"/>
    </xf>
    <xf numFmtId="3" fontId="13" fillId="0" borderId="19" xfId="0" applyNumberFormat="1" applyFont="1" applyBorder="1" applyAlignment="1" applyProtection="1">
      <alignment horizontal="center" vertical="center" wrapText="1"/>
      <protection locked="0"/>
    </xf>
    <xf numFmtId="0" fontId="0" fillId="0" borderId="0" xfId="0" applyAlignment="1" applyProtection="1">
      <alignment vertical="center"/>
      <protection locked="0"/>
    </xf>
    <xf numFmtId="0" fontId="1" fillId="3" borderId="14" xfId="0" applyFont="1" applyFill="1" applyBorder="1" applyAlignment="1">
      <alignment horizontal="left" vertical="center" wrapText="1" shrinkToFit="1"/>
    </xf>
    <xf numFmtId="0" fontId="13" fillId="6" borderId="0" xfId="0" applyFont="1" applyFill="1" applyAlignment="1">
      <alignment horizontal="center" vertical="center"/>
    </xf>
    <xf numFmtId="0" fontId="13" fillId="6" borderId="0" xfId="0" applyFont="1" applyFill="1" applyAlignment="1">
      <alignment horizontal="left" vertical="center"/>
    </xf>
    <xf numFmtId="0" fontId="2" fillId="6" borderId="0" xfId="0" applyFont="1" applyFill="1" applyAlignment="1">
      <alignment horizontal="left" vertical="center"/>
    </xf>
    <xf numFmtId="0" fontId="19" fillId="3" borderId="4" xfId="0" applyFont="1" applyFill="1" applyBorder="1" applyAlignment="1" applyProtection="1">
      <alignment vertical="center"/>
      <protection hidden="1"/>
    </xf>
    <xf numFmtId="0" fontId="19" fillId="3" borderId="5" xfId="0" applyFont="1" applyFill="1" applyBorder="1" applyAlignment="1" applyProtection="1">
      <alignment vertical="center"/>
      <protection hidden="1"/>
    </xf>
    <xf numFmtId="0" fontId="19" fillId="3" borderId="7" xfId="0" applyFont="1" applyFill="1" applyBorder="1" applyAlignment="1" applyProtection="1">
      <alignment vertical="center"/>
      <protection hidden="1"/>
    </xf>
    <xf numFmtId="0" fontId="19" fillId="3" borderId="8" xfId="0" applyFont="1" applyFill="1" applyBorder="1" applyAlignment="1" applyProtection="1">
      <alignment vertical="center"/>
      <protection hidden="1"/>
    </xf>
    <xf numFmtId="0" fontId="19" fillId="0" borderId="23" xfId="0" applyFont="1" applyBorder="1" applyAlignment="1">
      <alignment vertical="center" wrapText="1"/>
    </xf>
    <xf numFmtId="0" fontId="16" fillId="6" borderId="60" xfId="0" applyFont="1" applyFill="1" applyBorder="1" applyAlignment="1" applyProtection="1">
      <alignment vertical="center"/>
      <protection locked="0"/>
    </xf>
    <xf numFmtId="0" fontId="19" fillId="0" borderId="13" xfId="0" applyFont="1" applyBorder="1" applyAlignment="1">
      <alignment vertical="center" wrapText="1"/>
    </xf>
    <xf numFmtId="0" fontId="16" fillId="6" borderId="65" xfId="0" applyFont="1" applyFill="1" applyBorder="1" applyAlignment="1" applyProtection="1">
      <alignment vertical="center"/>
      <protection locked="0"/>
    </xf>
    <xf numFmtId="0" fontId="19" fillId="3" borderId="33" xfId="0" applyFont="1" applyFill="1" applyBorder="1" applyAlignment="1" applyProtection="1">
      <alignment horizontal="left" vertical="center"/>
      <protection hidden="1"/>
    </xf>
    <xf numFmtId="0" fontId="19" fillId="3" borderId="32" xfId="0" applyFont="1" applyFill="1" applyBorder="1" applyAlignment="1" applyProtection="1">
      <alignment horizontal="left" vertical="center"/>
      <protection hidden="1"/>
    </xf>
    <xf numFmtId="0" fontId="0" fillId="6" borderId="0" xfId="0" applyFill="1" applyAlignment="1">
      <alignment vertical="center"/>
    </xf>
    <xf numFmtId="0" fontId="40" fillId="6" borderId="0" xfId="0" applyFont="1" applyFill="1" applyAlignment="1">
      <alignment vertical="center"/>
    </xf>
    <xf numFmtId="0" fontId="0" fillId="6" borderId="0" xfId="0" applyFill="1" applyAlignment="1">
      <alignment horizontal="right" vertical="center"/>
    </xf>
    <xf numFmtId="0" fontId="39" fillId="6" borderId="0" xfId="0" applyFont="1" applyFill="1" applyAlignment="1">
      <alignment horizontal="left" vertical="center"/>
    </xf>
    <xf numFmtId="0" fontId="2" fillId="6" borderId="0" xfId="0" applyFont="1" applyFill="1" applyAlignment="1">
      <alignment vertical="center"/>
    </xf>
    <xf numFmtId="0" fontId="2" fillId="6" borderId="0" xfId="0" applyFont="1" applyFill="1" applyAlignment="1">
      <alignment horizontal="center" vertical="center"/>
    </xf>
    <xf numFmtId="0" fontId="2" fillId="6" borderId="0" xfId="0" applyFont="1" applyFill="1" applyAlignment="1">
      <alignment horizontal="right" vertical="center"/>
    </xf>
    <xf numFmtId="0" fontId="41" fillId="6" borderId="0" xfId="0" applyFont="1" applyFill="1" applyAlignment="1">
      <alignment horizontal="left" vertical="center"/>
    </xf>
    <xf numFmtId="0" fontId="40" fillId="6" borderId="0" xfId="0" applyFont="1" applyFill="1" applyAlignment="1">
      <alignment horizontal="center" vertical="center"/>
    </xf>
    <xf numFmtId="0" fontId="40" fillId="6" borderId="0" xfId="0" applyFont="1" applyFill="1" applyAlignment="1">
      <alignment horizontal="right" vertical="center"/>
    </xf>
    <xf numFmtId="3" fontId="0" fillId="6" borderId="26" xfId="0" applyNumberFormat="1" applyFill="1" applyBorder="1" applyAlignment="1" applyProtection="1">
      <alignment horizontal="center" vertical="center"/>
      <protection locked="0"/>
    </xf>
    <xf numFmtId="0" fontId="15" fillId="6" borderId="0" xfId="0" applyFont="1" applyFill="1" applyAlignment="1" applyProtection="1">
      <alignment horizontal="center" wrapText="1"/>
      <protection hidden="1"/>
    </xf>
    <xf numFmtId="0" fontId="0" fillId="6" borderId="0" xfId="0" applyFill="1" applyAlignment="1" applyProtection="1">
      <alignment vertical="center"/>
      <protection locked="0"/>
    </xf>
    <xf numFmtId="0" fontId="0" fillId="6" borderId="2" xfId="0" applyFill="1" applyBorder="1" applyAlignment="1" applyProtection="1">
      <alignment vertical="center"/>
      <protection hidden="1"/>
    </xf>
    <xf numFmtId="164" fontId="13" fillId="3" borderId="43" xfId="0" applyNumberFormat="1" applyFont="1" applyFill="1" applyBorder="1" applyAlignment="1" applyProtection="1">
      <alignment horizontal="center" vertical="center" wrapText="1"/>
      <protection hidden="1"/>
    </xf>
    <xf numFmtId="164" fontId="10" fillId="3" borderId="43" xfId="0" applyNumberFormat="1" applyFont="1" applyFill="1" applyBorder="1" applyAlignment="1" applyProtection="1">
      <alignment horizontal="center" vertical="center" wrapText="1"/>
      <protection hidden="1"/>
    </xf>
    <xf numFmtId="164" fontId="13" fillId="3" borderId="44" xfId="0" applyNumberFormat="1" applyFont="1" applyFill="1" applyBorder="1" applyAlignment="1" applyProtection="1">
      <alignment horizontal="center" vertical="center" wrapText="1"/>
      <protection hidden="1"/>
    </xf>
    <xf numFmtId="164" fontId="10" fillId="3" borderId="44" xfId="0" applyNumberFormat="1" applyFont="1" applyFill="1" applyBorder="1" applyAlignment="1" applyProtection="1">
      <alignment horizontal="center" vertical="center" wrapText="1"/>
      <protection hidden="1"/>
    </xf>
    <xf numFmtId="164" fontId="13" fillId="3" borderId="45" xfId="0" applyNumberFormat="1" applyFont="1" applyFill="1" applyBorder="1" applyAlignment="1" applyProtection="1">
      <alignment horizontal="center" vertical="center" wrapText="1"/>
      <protection hidden="1"/>
    </xf>
    <xf numFmtId="164" fontId="10" fillId="3" borderId="45" xfId="0" applyNumberFormat="1" applyFont="1" applyFill="1" applyBorder="1" applyAlignment="1" applyProtection="1">
      <alignment horizontal="center" vertical="center" wrapText="1"/>
      <protection hidden="1"/>
    </xf>
    <xf numFmtId="4" fontId="0" fillId="3" borderId="22" xfId="0" applyNumberFormat="1" applyFill="1" applyBorder="1" applyAlignment="1" applyProtection="1">
      <alignment horizontal="center" vertical="center"/>
      <protection hidden="1"/>
    </xf>
    <xf numFmtId="4" fontId="0" fillId="3" borderId="46" xfId="0" applyNumberFormat="1" applyFill="1" applyBorder="1" applyAlignment="1" applyProtection="1">
      <alignment horizontal="center" vertical="center"/>
      <protection hidden="1"/>
    </xf>
    <xf numFmtId="4" fontId="0" fillId="3" borderId="44" xfId="0" applyNumberFormat="1" applyFill="1" applyBorder="1" applyAlignment="1" applyProtection="1">
      <alignment horizontal="center" vertical="center"/>
      <protection hidden="1"/>
    </xf>
    <xf numFmtId="4" fontId="0" fillId="3" borderId="45" xfId="0" applyNumberFormat="1" applyFill="1" applyBorder="1" applyAlignment="1" applyProtection="1">
      <alignment horizontal="center" vertical="center"/>
      <protection hidden="1"/>
    </xf>
    <xf numFmtId="4" fontId="0" fillId="3" borderId="5" xfId="0" applyNumberFormat="1" applyFill="1" applyBorder="1" applyAlignment="1" applyProtection="1">
      <alignment horizontal="center" vertical="center"/>
      <protection hidden="1"/>
    </xf>
    <xf numFmtId="4" fontId="0" fillId="3" borderId="18" xfId="0" applyNumberFormat="1" applyFill="1" applyBorder="1" applyAlignment="1" applyProtection="1">
      <alignment horizontal="center" vertical="center"/>
      <protection hidden="1"/>
    </xf>
    <xf numFmtId="4" fontId="0" fillId="3" borderId="8" xfId="0" applyNumberFormat="1" applyFill="1" applyBorder="1" applyAlignment="1" applyProtection="1">
      <alignment horizontal="center" vertical="center"/>
      <protection hidden="1"/>
    </xf>
    <xf numFmtId="2" fontId="0" fillId="3" borderId="24" xfId="0" applyNumberFormat="1" applyFill="1" applyBorder="1" applyAlignment="1" applyProtection="1">
      <alignment horizontal="center" vertical="center"/>
      <protection hidden="1"/>
    </xf>
    <xf numFmtId="2" fontId="0" fillId="3" borderId="14" xfId="0" applyNumberFormat="1" applyFill="1" applyBorder="1" applyAlignment="1" applyProtection="1">
      <alignment horizontal="center" vertical="center"/>
      <protection hidden="1"/>
    </xf>
    <xf numFmtId="1" fontId="0" fillId="3" borderId="14" xfId="0" applyNumberFormat="1" applyFill="1" applyBorder="1" applyAlignment="1" applyProtection="1">
      <alignment horizontal="center" vertical="center"/>
      <protection hidden="1"/>
    </xf>
    <xf numFmtId="3" fontId="0" fillId="3" borderId="14" xfId="0" applyNumberFormat="1" applyFill="1" applyBorder="1" applyAlignment="1" applyProtection="1">
      <alignment horizontal="center" vertical="center"/>
      <protection hidden="1"/>
    </xf>
    <xf numFmtId="1" fontId="0" fillId="3" borderId="24" xfId="0" applyNumberFormat="1" applyFill="1" applyBorder="1" applyAlignment="1" applyProtection="1">
      <alignment horizontal="center" vertical="center"/>
      <protection hidden="1"/>
    </xf>
    <xf numFmtId="3" fontId="0" fillId="3" borderId="26" xfId="0" applyNumberFormat="1" applyFill="1" applyBorder="1" applyAlignment="1" applyProtection="1">
      <alignment horizontal="center" vertical="center"/>
      <protection hidden="1"/>
    </xf>
    <xf numFmtId="0" fontId="0" fillId="3" borderId="24" xfId="0" applyFill="1" applyBorder="1" applyAlignment="1" applyProtection="1">
      <alignment horizontal="center" vertical="center"/>
      <protection hidden="1"/>
    </xf>
    <xf numFmtId="4" fontId="0" fillId="3" borderId="56" xfId="0" applyNumberFormat="1" applyFill="1" applyBorder="1" applyAlignment="1" applyProtection="1">
      <alignment horizontal="center" vertical="center"/>
      <protection hidden="1"/>
    </xf>
    <xf numFmtId="0" fontId="0" fillId="3" borderId="19" xfId="0" applyFill="1" applyBorder="1" applyAlignment="1" applyProtection="1">
      <alignment horizontal="center" vertical="top" wrapText="1"/>
      <protection hidden="1"/>
    </xf>
    <xf numFmtId="0" fontId="15" fillId="6" borderId="47" xfId="0" applyFont="1" applyFill="1" applyBorder="1" applyAlignment="1" applyProtection="1">
      <alignment horizontal="left"/>
      <protection locked="0"/>
    </xf>
    <xf numFmtId="0" fontId="14" fillId="6" borderId="0" xfId="0" applyFont="1" applyFill="1" applyAlignment="1" applyProtection="1">
      <alignment horizontal="right" vertical="center"/>
      <protection hidden="1"/>
    </xf>
    <xf numFmtId="0" fontId="14" fillId="6" borderId="47" xfId="0" applyFont="1" applyFill="1" applyBorder="1" applyAlignment="1" applyProtection="1">
      <alignment horizontal="right" wrapText="1"/>
      <protection hidden="1"/>
    </xf>
    <xf numFmtId="0" fontId="0" fillId="3" borderId="0" xfId="0" applyFill="1" applyAlignment="1" applyProtection="1">
      <alignment horizontal="left"/>
      <protection hidden="1"/>
    </xf>
    <xf numFmtId="0" fontId="14" fillId="6" borderId="14" xfId="0" applyFont="1" applyFill="1" applyBorder="1" applyAlignment="1" applyProtection="1">
      <alignment horizontal="right" vertical="center"/>
      <protection hidden="1"/>
    </xf>
    <xf numFmtId="0" fontId="0" fillId="15" borderId="14" xfId="0" applyFill="1" applyBorder="1"/>
    <xf numFmtId="4" fontId="15" fillId="6" borderId="14" xfId="0" applyNumberFormat="1" applyFont="1" applyFill="1" applyBorder="1" applyAlignment="1">
      <alignment horizontal="left" vertical="center" wrapText="1"/>
    </xf>
    <xf numFmtId="0" fontId="26" fillId="6" borderId="14" xfId="0" applyFont="1" applyFill="1" applyBorder="1" applyAlignment="1" applyProtection="1">
      <alignment horizontal="right" vertical="center"/>
      <protection hidden="1"/>
    </xf>
    <xf numFmtId="4" fontId="15" fillId="6" borderId="14" xfId="0" applyNumberFormat="1" applyFont="1" applyFill="1" applyBorder="1" applyAlignment="1">
      <alignment horizontal="left" vertical="center"/>
    </xf>
    <xf numFmtId="0" fontId="15" fillId="6" borderId="14" xfId="0" applyFont="1" applyFill="1" applyBorder="1" applyAlignment="1">
      <alignment horizontal="left" vertical="center"/>
    </xf>
    <xf numFmtId="0" fontId="14" fillId="6" borderId="14" xfId="0" applyFont="1" applyFill="1" applyBorder="1" applyAlignment="1" applyProtection="1">
      <alignment horizontal="right"/>
      <protection hidden="1"/>
    </xf>
    <xf numFmtId="0" fontId="0" fillId="15" borderId="14" xfId="0" applyFill="1" applyBorder="1" applyAlignment="1">
      <alignment vertical="center"/>
    </xf>
    <xf numFmtId="3" fontId="15" fillId="6" borderId="14" xfId="0" applyNumberFormat="1" applyFont="1" applyFill="1" applyBorder="1" applyAlignment="1">
      <alignment horizontal="left" vertical="center"/>
    </xf>
    <xf numFmtId="0" fontId="14" fillId="6" borderId="14" xfId="0" applyFont="1" applyFill="1" applyBorder="1" applyAlignment="1" applyProtection="1">
      <alignment horizontal="right" vertical="center" wrapText="1"/>
      <protection hidden="1"/>
    </xf>
    <xf numFmtId="0" fontId="0" fillId="9" borderId="14" xfId="0" applyFill="1" applyBorder="1"/>
    <xf numFmtId="0" fontId="0" fillId="6" borderId="14" xfId="0" applyFill="1" applyBorder="1" applyProtection="1">
      <protection hidden="1"/>
    </xf>
    <xf numFmtId="0" fontId="33" fillId="10" borderId="14" xfId="0" applyFont="1" applyFill="1" applyBorder="1"/>
    <xf numFmtId="0" fontId="14" fillId="6" borderId="14" xfId="0" applyFont="1" applyFill="1" applyBorder="1" applyAlignment="1" applyProtection="1">
      <alignment horizontal="right" wrapText="1"/>
      <protection hidden="1"/>
    </xf>
    <xf numFmtId="0" fontId="15" fillId="6" borderId="14" xfId="0" applyFont="1" applyFill="1" applyBorder="1" applyAlignment="1">
      <alignment horizontal="left" vertical="center" wrapText="1"/>
    </xf>
    <xf numFmtId="4" fontId="15" fillId="3" borderId="14" xfId="0" applyNumberFormat="1" applyFont="1" applyFill="1" applyBorder="1" applyAlignment="1" applyProtection="1">
      <alignment horizontal="left" vertical="center"/>
      <protection hidden="1"/>
    </xf>
    <xf numFmtId="0" fontId="0" fillId="6" borderId="0" xfId="0" applyFill="1" applyAlignment="1">
      <alignment horizontal="left" vertical="center"/>
    </xf>
    <xf numFmtId="0" fontId="15" fillId="6" borderId="14" xfId="0" applyFont="1" applyFill="1" applyBorder="1" applyAlignment="1" applyProtection="1">
      <alignment horizontal="center" vertical="center" wrapText="1"/>
      <protection hidden="1"/>
    </xf>
    <xf numFmtId="49" fontId="15" fillId="6" borderId="14" xfId="0" applyNumberFormat="1" applyFont="1" applyFill="1" applyBorder="1" applyAlignment="1" applyProtection="1">
      <alignment horizontal="center" vertical="center"/>
      <protection hidden="1"/>
    </xf>
    <xf numFmtId="49" fontId="4" fillId="6" borderId="0" xfId="0" applyNumberFormat="1" applyFont="1" applyFill="1" applyAlignment="1" applyProtection="1">
      <alignment horizontal="right" vertical="center"/>
      <protection hidden="1"/>
    </xf>
    <xf numFmtId="1" fontId="0" fillId="6" borderId="15" xfId="0" applyNumberFormat="1" applyFill="1" applyBorder="1" applyAlignment="1" applyProtection="1">
      <alignment horizontal="center" vertical="center"/>
      <protection hidden="1"/>
    </xf>
    <xf numFmtId="0" fontId="14" fillId="6" borderId="50" xfId="0" applyFont="1" applyFill="1" applyBorder="1" applyAlignment="1" applyProtection="1">
      <alignment vertical="center"/>
      <protection hidden="1"/>
    </xf>
    <xf numFmtId="0" fontId="15" fillId="6" borderId="0" xfId="0" applyFont="1" applyFill="1" applyAlignment="1" applyProtection="1">
      <alignment horizontal="center" vertical="center" wrapText="1"/>
      <protection hidden="1"/>
    </xf>
    <xf numFmtId="49" fontId="15" fillId="6" borderId="0" xfId="0" applyNumberFormat="1" applyFont="1" applyFill="1" applyAlignment="1" applyProtection="1">
      <alignment horizontal="center" vertical="center"/>
      <protection hidden="1"/>
    </xf>
    <xf numFmtId="1" fontId="0" fillId="6" borderId="54" xfId="0" applyNumberFormat="1" applyFill="1" applyBorder="1" applyAlignment="1" applyProtection="1">
      <alignment horizontal="center" vertical="center"/>
      <protection hidden="1"/>
    </xf>
    <xf numFmtId="0" fontId="15" fillId="6" borderId="19" xfId="0" applyFont="1" applyFill="1" applyBorder="1" applyAlignment="1" applyProtection="1">
      <alignment horizontal="center" vertical="center" wrapText="1"/>
      <protection hidden="1"/>
    </xf>
    <xf numFmtId="49" fontId="15" fillId="6" borderId="19" xfId="0" applyNumberFormat="1" applyFont="1" applyFill="1" applyBorder="1" applyAlignment="1" applyProtection="1">
      <alignment horizontal="center" vertical="center"/>
      <protection hidden="1"/>
    </xf>
    <xf numFmtId="1" fontId="0" fillId="6" borderId="20" xfId="0" applyNumberFormat="1" applyFill="1" applyBorder="1" applyAlignment="1" applyProtection="1">
      <alignment horizontal="center" vertical="center"/>
      <protection hidden="1"/>
    </xf>
    <xf numFmtId="1" fontId="4" fillId="6" borderId="0" xfId="0" applyNumberFormat="1" applyFont="1" applyFill="1" applyAlignment="1" applyProtection="1">
      <alignment horizontal="center" vertical="center"/>
      <protection hidden="1"/>
    </xf>
    <xf numFmtId="49" fontId="14" fillId="6" borderId="26" xfId="0" applyNumberFormat="1" applyFont="1" applyFill="1" applyBorder="1" applyAlignment="1" applyProtection="1">
      <alignment horizontal="center" vertical="center"/>
      <protection hidden="1"/>
    </xf>
    <xf numFmtId="0" fontId="14" fillId="6" borderId="38" xfId="0" applyFont="1" applyFill="1" applyBorder="1" applyAlignment="1" applyProtection="1">
      <alignment horizontal="center" vertical="center"/>
      <protection hidden="1"/>
    </xf>
    <xf numFmtId="0" fontId="15" fillId="6" borderId="24" xfId="0" applyFont="1" applyFill="1" applyBorder="1" applyAlignment="1" applyProtection="1">
      <alignment horizontal="center" vertical="center" wrapText="1"/>
      <protection hidden="1"/>
    </xf>
    <xf numFmtId="49" fontId="15" fillId="6" borderId="24" xfId="0" applyNumberFormat="1" applyFont="1" applyFill="1" applyBorder="1" applyAlignment="1" applyProtection="1">
      <alignment horizontal="center" vertical="center"/>
      <protection hidden="1"/>
    </xf>
    <xf numFmtId="1" fontId="0" fillId="6" borderId="25" xfId="0" applyNumberFormat="1" applyFill="1" applyBorder="1" applyAlignment="1" applyProtection="1">
      <alignment horizontal="center" vertical="center"/>
      <protection hidden="1"/>
    </xf>
    <xf numFmtId="0" fontId="19" fillId="6" borderId="0" xfId="0" applyFont="1" applyFill="1" applyAlignment="1" applyProtection="1">
      <alignment horizontal="left" vertical="top" wrapText="1"/>
      <protection hidden="1"/>
    </xf>
    <xf numFmtId="0" fontId="31" fillId="6" borderId="0" xfId="0" applyFont="1" applyFill="1" applyAlignment="1" applyProtection="1">
      <alignment horizontal="left" vertical="top" wrapText="1"/>
      <protection hidden="1"/>
    </xf>
    <xf numFmtId="0" fontId="14" fillId="5" borderId="3" xfId="0" applyFont="1" applyFill="1" applyBorder="1" applyAlignment="1" applyProtection="1">
      <alignment horizontal="center" vertical="center"/>
      <protection hidden="1"/>
    </xf>
    <xf numFmtId="0" fontId="0" fillId="6" borderId="0" xfId="0" applyFill="1" applyAlignment="1">
      <alignment horizontal="left"/>
    </xf>
    <xf numFmtId="4" fontId="15" fillId="6" borderId="14" xfId="0" applyNumberFormat="1" applyFont="1" applyFill="1" applyBorder="1" applyAlignment="1" applyProtection="1">
      <alignment horizontal="left" vertical="center" wrapText="1"/>
      <protection locked="0"/>
    </xf>
    <xf numFmtId="4" fontId="15" fillId="6" borderId="14" xfId="0" applyNumberFormat="1" applyFont="1" applyFill="1" applyBorder="1" applyAlignment="1" applyProtection="1">
      <alignment horizontal="left" vertical="center"/>
      <protection locked="0"/>
    </xf>
    <xf numFmtId="4" fontId="15" fillId="6" borderId="64" xfId="0" applyNumberFormat="1" applyFont="1" applyFill="1" applyBorder="1" applyAlignment="1" applyProtection="1">
      <alignment horizontal="left" vertical="center"/>
      <protection locked="0"/>
    </xf>
    <xf numFmtId="0" fontId="0" fillId="15" borderId="0" xfId="0" applyFill="1" applyAlignment="1" applyProtection="1">
      <alignment vertical="center"/>
      <protection hidden="1"/>
    </xf>
    <xf numFmtId="0" fontId="40" fillId="6" borderId="0" xfId="0" applyFont="1" applyFill="1" applyAlignment="1" applyProtection="1">
      <alignment vertical="center"/>
      <protection hidden="1"/>
    </xf>
    <xf numFmtId="0" fontId="16" fillId="6" borderId="9" xfId="0" applyFont="1" applyFill="1" applyBorder="1" applyAlignment="1" applyProtection="1">
      <alignment horizontal="left" vertical="center" wrapText="1"/>
      <protection hidden="1"/>
    </xf>
    <xf numFmtId="0" fontId="16" fillId="6" borderId="4" xfId="0" applyFont="1" applyFill="1" applyBorder="1" applyAlignment="1" applyProtection="1">
      <alignment horizontal="left" vertical="center" wrapText="1"/>
      <protection hidden="1"/>
    </xf>
    <xf numFmtId="165" fontId="0" fillId="3" borderId="22" xfId="0" applyNumberFormat="1" applyFill="1" applyBorder="1" applyAlignment="1" applyProtection="1">
      <alignment horizontal="center" vertical="center"/>
      <protection hidden="1"/>
    </xf>
    <xf numFmtId="165" fontId="0" fillId="3" borderId="46" xfId="0" applyNumberFormat="1" applyFill="1" applyBorder="1" applyAlignment="1" applyProtection="1">
      <alignment horizontal="center" vertical="center"/>
      <protection hidden="1"/>
    </xf>
    <xf numFmtId="49" fontId="1" fillId="8" borderId="0" xfId="0" applyNumberFormat="1" applyFont="1" applyFill="1" applyAlignment="1" applyProtection="1">
      <alignment horizontal="right" vertical="center"/>
      <protection hidden="1"/>
    </xf>
    <xf numFmtId="1" fontId="1" fillId="8" borderId="0" xfId="0" applyNumberFormat="1" applyFont="1" applyFill="1" applyAlignment="1" applyProtection="1">
      <alignment horizontal="center" vertical="center"/>
      <protection hidden="1"/>
    </xf>
    <xf numFmtId="4" fontId="15" fillId="6" borderId="64" xfId="0" applyNumberFormat="1" applyFont="1" applyFill="1" applyBorder="1" applyAlignment="1" applyProtection="1">
      <alignment horizontal="left" vertical="center"/>
      <protection hidden="1"/>
    </xf>
    <xf numFmtId="0" fontId="5" fillId="6" borderId="0" xfId="0" applyFont="1" applyFill="1" applyAlignment="1">
      <alignment horizontal="center" vertical="center"/>
    </xf>
    <xf numFmtId="0" fontId="13" fillId="6" borderId="47" xfId="0" applyFont="1" applyFill="1" applyBorder="1" applyAlignment="1">
      <alignment horizontal="center" vertical="center"/>
    </xf>
    <xf numFmtId="0" fontId="13" fillId="6" borderId="17" xfId="0" applyFont="1" applyFill="1" applyBorder="1" applyAlignment="1">
      <alignment horizontal="center" vertical="center"/>
    </xf>
    <xf numFmtId="0" fontId="13" fillId="6" borderId="64"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64" xfId="0" applyFill="1" applyBorder="1" applyAlignment="1">
      <alignment horizontal="center" vertical="center" wrapText="1"/>
    </xf>
    <xf numFmtId="0" fontId="4" fillId="2" borderId="66" xfId="0" applyFont="1" applyFill="1" applyBorder="1" applyAlignment="1">
      <alignment horizontal="right" vertical="center"/>
    </xf>
    <xf numFmtId="0" fontId="4" fillId="2" borderId="67" xfId="0" applyFont="1" applyFill="1" applyBorder="1" applyAlignment="1">
      <alignment horizontal="right" vertical="center"/>
    </xf>
    <xf numFmtId="0" fontId="4" fillId="6" borderId="67" xfId="0" applyFont="1" applyFill="1" applyBorder="1" applyAlignment="1" applyProtection="1">
      <alignment horizontal="left" vertical="center"/>
      <protection locked="0" hidden="1"/>
    </xf>
    <xf numFmtId="0" fontId="4" fillId="6" borderId="68" xfId="0" applyFont="1" applyFill="1" applyBorder="1" applyAlignment="1" applyProtection="1">
      <alignment horizontal="left" vertical="center"/>
      <protection locked="0" hidden="1"/>
    </xf>
    <xf numFmtId="0" fontId="26" fillId="7" borderId="1" xfId="0" applyFont="1" applyFill="1" applyBorder="1" applyAlignment="1">
      <alignment horizontal="left" vertical="center" wrapText="1"/>
    </xf>
    <xf numFmtId="0" fontId="26" fillId="7" borderId="2" xfId="0" applyFont="1" applyFill="1" applyBorder="1" applyAlignment="1">
      <alignment horizontal="left" vertical="center" wrapText="1"/>
    </xf>
    <xf numFmtId="0" fontId="26" fillId="7" borderId="3" xfId="0" applyFont="1" applyFill="1" applyBorder="1" applyAlignment="1">
      <alignment horizontal="left" vertical="center" wrapText="1"/>
    </xf>
    <xf numFmtId="0" fontId="32" fillId="0" borderId="1"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3" xfId="0" applyFont="1" applyBorder="1" applyAlignment="1" applyProtection="1">
      <alignment horizontal="left" vertical="center" wrapText="1"/>
      <protection locked="0"/>
    </xf>
    <xf numFmtId="0" fontId="16" fillId="0" borderId="13"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26" fillId="7" borderId="10" xfId="0" applyFont="1" applyFill="1" applyBorder="1" applyAlignment="1">
      <alignment horizontal="left" vertical="center" wrapText="1"/>
    </xf>
    <xf numFmtId="0" fontId="26" fillId="7" borderId="9" xfId="0" applyFont="1" applyFill="1" applyBorder="1" applyAlignment="1">
      <alignment horizontal="left" vertical="center" wrapText="1"/>
    </xf>
    <xf numFmtId="0" fontId="26" fillId="7" borderId="11" xfId="0" applyFont="1" applyFill="1" applyBorder="1" applyAlignment="1">
      <alignment horizontal="left" vertical="center" wrapText="1"/>
    </xf>
    <xf numFmtId="0" fontId="1" fillId="3" borderId="14" xfId="0" applyFont="1" applyFill="1" applyBorder="1" applyAlignment="1">
      <alignment horizontal="left" vertical="center" wrapText="1" shrinkToFit="1"/>
    </xf>
    <xf numFmtId="0" fontId="1" fillId="3" borderId="15" xfId="0" applyFont="1" applyFill="1" applyBorder="1" applyAlignment="1">
      <alignment horizontal="left" vertical="center" wrapText="1" shrinkToFit="1"/>
    </xf>
    <xf numFmtId="0" fontId="32" fillId="0" borderId="10" xfId="0" applyFont="1" applyBorder="1" applyAlignment="1" applyProtection="1">
      <alignment horizontal="left" vertical="center" wrapText="1"/>
      <protection locked="0"/>
    </xf>
    <xf numFmtId="0" fontId="32" fillId="0" borderId="9" xfId="0" applyFont="1" applyBorder="1" applyAlignment="1" applyProtection="1">
      <alignment horizontal="left" vertical="center" wrapText="1"/>
      <protection locked="0"/>
    </xf>
    <xf numFmtId="0" fontId="32" fillId="0" borderId="11" xfId="0" applyFont="1" applyBorder="1" applyAlignment="1" applyProtection="1">
      <alignment horizontal="left" vertical="center" wrapText="1"/>
      <protection locked="0"/>
    </xf>
    <xf numFmtId="0" fontId="32" fillId="0" borderId="29" xfId="0" applyFont="1" applyBorder="1" applyAlignment="1" applyProtection="1">
      <alignment horizontal="left" vertical="center" wrapText="1"/>
      <protection locked="0"/>
    </xf>
    <xf numFmtId="0" fontId="32" fillId="0" borderId="30" xfId="0" applyFont="1" applyBorder="1" applyAlignment="1" applyProtection="1">
      <alignment horizontal="left" vertical="center" wrapText="1"/>
      <protection locked="0"/>
    </xf>
    <xf numFmtId="0" fontId="32" fillId="0" borderId="31" xfId="0" applyFont="1" applyBorder="1" applyAlignment="1" applyProtection="1">
      <alignment horizontal="left" vertical="center" wrapText="1"/>
      <protection locked="0"/>
    </xf>
    <xf numFmtId="0" fontId="14" fillId="8" borderId="23" xfId="0" applyFont="1" applyFill="1" applyBorder="1" applyAlignment="1">
      <alignment horizontal="left" vertical="center" wrapText="1"/>
    </xf>
    <xf numFmtId="0" fontId="14" fillId="8" borderId="24" xfId="0" applyFont="1" applyFill="1" applyBorder="1" applyAlignment="1">
      <alignment horizontal="left" vertical="center" wrapText="1"/>
    </xf>
    <xf numFmtId="0" fontId="14" fillId="8" borderId="25" xfId="0" applyFont="1" applyFill="1" applyBorder="1" applyAlignment="1">
      <alignment horizontal="left" vertical="center" wrapText="1"/>
    </xf>
    <xf numFmtId="0" fontId="14" fillId="8" borderId="13" xfId="0" applyFont="1" applyFill="1" applyBorder="1" applyAlignment="1">
      <alignment horizontal="left" vertical="center" wrapText="1"/>
    </xf>
    <xf numFmtId="0" fontId="14" fillId="8" borderId="14" xfId="0" applyFont="1" applyFill="1" applyBorder="1" applyAlignment="1">
      <alignment horizontal="left" vertical="center" wrapText="1"/>
    </xf>
    <xf numFmtId="0" fontId="14" fillId="8" borderId="15" xfId="0" applyFont="1" applyFill="1" applyBorder="1" applyAlignment="1">
      <alignment horizontal="left" vertical="center" wrapText="1"/>
    </xf>
    <xf numFmtId="0" fontId="16" fillId="0" borderId="6" xfId="0" applyFont="1" applyBorder="1" applyAlignment="1" applyProtection="1">
      <alignment horizontal="left" vertical="center" wrapText="1"/>
      <protection locked="0"/>
    </xf>
    <xf numFmtId="0" fontId="16" fillId="0" borderId="19" xfId="0" applyFont="1" applyBorder="1" applyAlignment="1" applyProtection="1">
      <alignment horizontal="left" vertical="center" wrapText="1"/>
      <protection locked="0"/>
    </xf>
    <xf numFmtId="0" fontId="16" fillId="0" borderId="20" xfId="0" applyFont="1" applyBorder="1" applyAlignment="1" applyProtection="1">
      <alignment horizontal="left" vertical="center" wrapText="1"/>
      <protection locked="0"/>
    </xf>
    <xf numFmtId="0" fontId="13" fillId="6" borderId="0" xfId="0" applyFont="1" applyFill="1" applyAlignment="1">
      <alignment horizontal="center" vertical="center" wrapText="1"/>
    </xf>
    <xf numFmtId="0" fontId="14" fillId="8" borderId="16"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14" fillId="8" borderId="18" xfId="0" applyFont="1" applyFill="1" applyBorder="1" applyAlignment="1">
      <alignment horizontal="left" vertical="center" wrapText="1"/>
    </xf>
    <xf numFmtId="0" fontId="14" fillId="8" borderId="35" xfId="0" applyFont="1" applyFill="1" applyBorder="1" applyAlignment="1">
      <alignment horizontal="left" vertical="center" wrapText="1"/>
    </xf>
    <xf numFmtId="0" fontId="14" fillId="8" borderId="28" xfId="0" applyFont="1" applyFill="1" applyBorder="1" applyAlignment="1">
      <alignment horizontal="left" vertical="center" wrapText="1"/>
    </xf>
    <xf numFmtId="0" fontId="14" fillId="8" borderId="36" xfId="0" applyFont="1" applyFill="1" applyBorder="1" applyAlignment="1">
      <alignment horizontal="left" vertical="center" wrapText="1"/>
    </xf>
    <xf numFmtId="0" fontId="0" fillId="6" borderId="0" xfId="0" applyFill="1" applyAlignment="1">
      <alignment horizontal="left" vertical="center" wrapText="1"/>
    </xf>
    <xf numFmtId="0" fontId="16" fillId="0" borderId="37" xfId="0" applyFont="1" applyBorder="1" applyAlignment="1" applyProtection="1">
      <alignment horizontal="left" vertical="center" wrapText="1"/>
      <protection locked="0"/>
    </xf>
    <xf numFmtId="0" fontId="16" fillId="0" borderId="26" xfId="0" applyFont="1" applyBorder="1" applyAlignment="1" applyProtection="1">
      <alignment horizontal="left" vertical="center" wrapText="1"/>
      <protection locked="0"/>
    </xf>
    <xf numFmtId="0" fontId="16" fillId="0" borderId="38" xfId="0" applyFont="1" applyBorder="1" applyAlignment="1" applyProtection="1">
      <alignment horizontal="left" vertical="center" wrapText="1"/>
      <protection locked="0"/>
    </xf>
    <xf numFmtId="0" fontId="14" fillId="8" borderId="33" xfId="0" applyFont="1" applyFill="1" applyBorder="1" applyAlignment="1">
      <alignment horizontal="left" vertical="center" wrapText="1"/>
    </xf>
    <xf numFmtId="0" fontId="14" fillId="8" borderId="4" xfId="0" applyFont="1" applyFill="1" applyBorder="1" applyAlignment="1">
      <alignment horizontal="left" vertical="center" wrapText="1"/>
    </xf>
    <xf numFmtId="0" fontId="14" fillId="8" borderId="5" xfId="0" applyFont="1" applyFill="1" applyBorder="1" applyAlignment="1">
      <alignment horizontal="left" vertical="center" wrapText="1"/>
    </xf>
    <xf numFmtId="0" fontId="19" fillId="6" borderId="63" xfId="0" applyFont="1" applyFill="1" applyBorder="1" applyAlignment="1" applyProtection="1">
      <alignment horizontal="center" vertical="center" wrapText="1"/>
      <protection hidden="1"/>
    </xf>
    <xf numFmtId="0" fontId="19" fillId="6" borderId="65" xfId="0" applyFont="1" applyFill="1" applyBorder="1" applyAlignment="1" applyProtection="1">
      <alignment horizontal="center" vertical="center" wrapText="1"/>
      <protection hidden="1"/>
    </xf>
    <xf numFmtId="0" fontId="19" fillId="6" borderId="70" xfId="0" applyFont="1" applyFill="1" applyBorder="1" applyAlignment="1" applyProtection="1">
      <alignment horizontal="center" vertical="center" wrapText="1"/>
      <protection hidden="1"/>
    </xf>
    <xf numFmtId="0" fontId="19" fillId="6" borderId="71" xfId="0" applyFont="1" applyFill="1" applyBorder="1" applyAlignment="1" applyProtection="1">
      <alignment horizontal="center" vertical="center" wrapText="1"/>
      <protection hidden="1"/>
    </xf>
    <xf numFmtId="0" fontId="19" fillId="6" borderId="0" xfId="0" applyFont="1" applyFill="1" applyAlignment="1" applyProtection="1">
      <alignment horizontal="center" vertical="center" wrapText="1"/>
      <protection hidden="1"/>
    </xf>
    <xf numFmtId="0" fontId="19" fillId="6" borderId="69" xfId="0" applyFont="1" applyFill="1" applyBorder="1" applyAlignment="1" applyProtection="1">
      <alignment horizontal="center" vertical="center" wrapText="1"/>
      <protection hidden="1"/>
    </xf>
    <xf numFmtId="0" fontId="19" fillId="6" borderId="52" xfId="0" applyFont="1" applyFill="1" applyBorder="1" applyAlignment="1" applyProtection="1">
      <alignment horizontal="center" vertical="center" wrapText="1"/>
      <protection hidden="1"/>
    </xf>
    <xf numFmtId="0" fontId="19" fillId="6" borderId="72" xfId="0" applyFont="1" applyFill="1" applyBorder="1" applyAlignment="1" applyProtection="1">
      <alignment horizontal="center" vertical="center" wrapText="1"/>
      <protection hidden="1"/>
    </xf>
    <xf numFmtId="0" fontId="19" fillId="6" borderId="73" xfId="0" applyFont="1" applyFill="1" applyBorder="1" applyAlignment="1" applyProtection="1">
      <alignment horizontal="center" vertical="center" wrapText="1"/>
      <protection hidden="1"/>
    </xf>
    <xf numFmtId="0" fontId="14" fillId="5" borderId="1" xfId="0" applyFont="1" applyFill="1" applyBorder="1" applyAlignment="1" applyProtection="1">
      <alignment horizontal="center" vertical="center"/>
      <protection hidden="1"/>
    </xf>
    <xf numFmtId="0" fontId="14" fillId="5" borderId="2" xfId="0" applyFont="1" applyFill="1" applyBorder="1" applyAlignment="1" applyProtection="1">
      <alignment horizontal="center" vertical="center"/>
      <protection hidden="1"/>
    </xf>
    <xf numFmtId="0" fontId="14" fillId="6" borderId="23" xfId="0" applyFont="1" applyFill="1" applyBorder="1" applyAlignment="1" applyProtection="1">
      <alignment horizontal="center" vertical="center" textRotation="90"/>
      <protection hidden="1"/>
    </xf>
    <xf numFmtId="0" fontId="14" fillId="6" borderId="13" xfId="0" applyFont="1" applyFill="1" applyBorder="1" applyAlignment="1" applyProtection="1">
      <alignment horizontal="center" vertical="center" textRotation="90"/>
      <protection hidden="1"/>
    </xf>
    <xf numFmtId="0" fontId="14" fillId="6" borderId="6" xfId="0" applyFont="1" applyFill="1" applyBorder="1" applyAlignment="1" applyProtection="1">
      <alignment horizontal="center" vertical="center" textRotation="90"/>
      <protection hidden="1"/>
    </xf>
    <xf numFmtId="0" fontId="13" fillId="0" borderId="16" xfId="0" applyFont="1" applyBorder="1" applyAlignment="1" applyProtection="1">
      <alignment vertical="center" wrapText="1"/>
      <protection hidden="1"/>
    </xf>
    <xf numFmtId="0" fontId="13" fillId="0" borderId="17" xfId="0" applyFont="1" applyBorder="1" applyAlignment="1" applyProtection="1">
      <alignment vertical="center" wrapText="1"/>
      <protection hidden="1"/>
    </xf>
    <xf numFmtId="0" fontId="0" fillId="6" borderId="0" xfId="0" applyFill="1" applyAlignment="1" applyProtection="1">
      <alignment horizontal="center" vertical="center" wrapText="1"/>
      <protection hidden="1"/>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23" xfId="0" applyBorder="1" applyAlignment="1" applyProtection="1">
      <alignment horizontal="left" vertical="center" wrapText="1"/>
      <protection hidden="1"/>
    </xf>
    <xf numFmtId="0" fontId="0" fillId="0" borderId="24" xfId="0" applyBorder="1" applyAlignment="1" applyProtection="1">
      <alignment horizontal="left" vertical="center" wrapText="1"/>
      <protection hidden="1"/>
    </xf>
    <xf numFmtId="0" fontId="0" fillId="0" borderId="6" xfId="0" applyBorder="1" applyAlignment="1" applyProtection="1">
      <alignment horizontal="left" vertical="center" wrapText="1"/>
      <protection hidden="1"/>
    </xf>
    <xf numFmtId="0" fontId="0" fillId="0" borderId="19" xfId="0" applyBorder="1" applyAlignment="1" applyProtection="1">
      <alignment horizontal="left" vertical="center" wrapText="1"/>
      <protection hidden="1"/>
    </xf>
    <xf numFmtId="0" fontId="14" fillId="7" borderId="1" xfId="0" applyFont="1" applyFill="1" applyBorder="1" applyAlignment="1" applyProtection="1">
      <alignment horizontal="left" vertical="center"/>
      <protection hidden="1"/>
    </xf>
    <xf numFmtId="0" fontId="14" fillId="7" borderId="3" xfId="0" applyFont="1" applyFill="1" applyBorder="1" applyAlignment="1" applyProtection="1">
      <alignment horizontal="left" vertical="center"/>
      <protection hidden="1"/>
    </xf>
    <xf numFmtId="0" fontId="13" fillId="0" borderId="41" xfId="0" applyFont="1" applyBorder="1" applyAlignment="1" applyProtection="1">
      <alignment horizontal="left" vertical="center" wrapText="1"/>
      <protection hidden="1"/>
    </xf>
    <xf numFmtId="0" fontId="13" fillId="0" borderId="51" xfId="0" applyFont="1" applyBorder="1" applyAlignment="1" applyProtection="1">
      <alignment horizontal="left" vertical="center" wrapText="1"/>
      <protection hidden="1"/>
    </xf>
    <xf numFmtId="0" fontId="0" fillId="8" borderId="10" xfId="0" applyFill="1" applyBorder="1" applyAlignment="1" applyProtection="1">
      <alignment horizontal="center" vertical="center" wrapText="1"/>
      <protection hidden="1"/>
    </xf>
    <xf numFmtId="0" fontId="0" fillId="8" borderId="11" xfId="0" applyFill="1" applyBorder="1" applyAlignment="1" applyProtection="1">
      <alignment horizontal="center" vertical="center" wrapText="1"/>
      <protection hidden="1"/>
    </xf>
    <xf numFmtId="0" fontId="14" fillId="7" borderId="2" xfId="0" applyFont="1" applyFill="1" applyBorder="1" applyAlignment="1" applyProtection="1">
      <alignment horizontal="left" vertical="center"/>
      <protection hidden="1"/>
    </xf>
    <xf numFmtId="0" fontId="13" fillId="0" borderId="39" xfId="0" applyFont="1" applyBorder="1" applyAlignment="1" applyProtection="1">
      <alignment horizontal="left" vertical="center" wrapText="1"/>
      <protection hidden="1"/>
    </xf>
    <xf numFmtId="0" fontId="13" fillId="0" borderId="48" xfId="0" applyFont="1" applyBorder="1" applyAlignment="1" applyProtection="1">
      <alignment horizontal="left" vertical="center" wrapText="1"/>
      <protection hidden="1"/>
    </xf>
    <xf numFmtId="0" fontId="27" fillId="6" borderId="0" xfId="0" applyFont="1" applyFill="1" applyAlignment="1" applyProtection="1">
      <alignment horizontal="center" vertical="center"/>
      <protection hidden="1"/>
    </xf>
    <xf numFmtId="0" fontId="0" fillId="6" borderId="50" xfId="0" applyFill="1" applyBorder="1" applyAlignment="1" applyProtection="1">
      <alignment horizontal="left" vertical="center" wrapText="1"/>
      <protection hidden="1"/>
    </xf>
    <xf numFmtId="0" fontId="0" fillId="6" borderId="0" xfId="0" applyFill="1" applyAlignment="1" applyProtection="1">
      <alignment horizontal="left" vertical="center" wrapText="1"/>
      <protection hidden="1"/>
    </xf>
    <xf numFmtId="0" fontId="0" fillId="6" borderId="54" xfId="0" applyFill="1" applyBorder="1" applyAlignment="1" applyProtection="1">
      <alignment horizontal="left" vertical="center" wrapText="1"/>
      <protection hidden="1"/>
    </xf>
    <xf numFmtId="0" fontId="13" fillId="0" borderId="37" xfId="0" applyFont="1" applyBorder="1" applyAlignment="1" applyProtection="1">
      <alignment horizontal="left" vertical="center" wrapText="1"/>
      <protection hidden="1"/>
    </xf>
    <xf numFmtId="0" fontId="13" fillId="0" borderId="26" xfId="0" applyFont="1" applyBorder="1" applyAlignment="1" applyProtection="1">
      <alignment horizontal="left" vertical="center" wrapText="1"/>
      <protection hidden="1"/>
    </xf>
    <xf numFmtId="0" fontId="13" fillId="0" borderId="35" xfId="0" applyFont="1" applyBorder="1" applyAlignment="1" applyProtection="1">
      <alignment horizontal="left" vertical="center" wrapText="1"/>
      <protection hidden="1"/>
    </xf>
    <xf numFmtId="0" fontId="13" fillId="0" borderId="52" xfId="0" applyFont="1" applyBorder="1" applyAlignment="1" applyProtection="1">
      <alignment horizontal="left" vertical="center" wrapText="1"/>
      <protection hidden="1"/>
    </xf>
    <xf numFmtId="0" fontId="13" fillId="0" borderId="13" xfId="0" applyFont="1" applyBorder="1" applyAlignment="1" applyProtection="1">
      <alignment horizontal="left" vertical="center" wrapText="1"/>
      <protection hidden="1"/>
    </xf>
    <xf numFmtId="0" fontId="13" fillId="0" borderId="47" xfId="0" applyFont="1" applyBorder="1" applyAlignment="1" applyProtection="1">
      <alignment horizontal="left" vertical="center" wrapText="1"/>
      <protection hidden="1"/>
    </xf>
    <xf numFmtId="0" fontId="13" fillId="0" borderId="6" xfId="0" applyFont="1" applyBorder="1" applyAlignment="1" applyProtection="1">
      <alignment horizontal="left" vertical="center" wrapText="1"/>
      <protection hidden="1"/>
    </xf>
    <xf numFmtId="0" fontId="13" fillId="0" borderId="21" xfId="0" applyFont="1" applyBorder="1" applyAlignment="1" applyProtection="1">
      <alignment horizontal="left" vertical="center" wrapText="1"/>
      <protection hidden="1"/>
    </xf>
    <xf numFmtId="0" fontId="13" fillId="0" borderId="33" xfId="0" applyFont="1" applyBorder="1" applyAlignment="1" applyProtection="1">
      <alignment vertical="center" wrapText="1"/>
      <protection hidden="1"/>
    </xf>
    <xf numFmtId="0" fontId="13" fillId="0" borderId="4" xfId="0" applyFont="1" applyBorder="1" applyAlignment="1" applyProtection="1">
      <alignment vertical="center" wrapText="1"/>
      <protection hidden="1"/>
    </xf>
    <xf numFmtId="0" fontId="10" fillId="0" borderId="1"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hidden="1"/>
    </xf>
    <xf numFmtId="0" fontId="6" fillId="6" borderId="0" xfId="0" applyFont="1" applyFill="1" applyAlignment="1" applyProtection="1">
      <alignment horizontal="left" vertical="center" wrapText="1"/>
      <protection hidden="1"/>
    </xf>
    <xf numFmtId="0" fontId="13" fillId="0" borderId="32" xfId="0" applyFont="1" applyBorder="1" applyAlignment="1" applyProtection="1">
      <alignment vertical="center" wrapText="1"/>
      <protection hidden="1"/>
    </xf>
    <xf numFmtId="0" fontId="13" fillId="0" borderId="7"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3" fillId="0" borderId="3" xfId="0" applyFont="1" applyBorder="1" applyAlignment="1" applyProtection="1">
      <alignment horizontal="left" vertical="center" wrapText="1"/>
      <protection hidden="1"/>
    </xf>
    <xf numFmtId="0" fontId="13" fillId="0" borderId="14" xfId="0" applyFont="1" applyBorder="1" applyAlignment="1" applyProtection="1">
      <alignment horizontal="left" vertical="center" wrapText="1"/>
      <protection hidden="1"/>
    </xf>
    <xf numFmtId="0" fontId="0" fillId="0" borderId="10" xfId="0" applyBorder="1" applyAlignment="1" applyProtection="1">
      <alignment horizontal="center" vertical="center" wrapText="1"/>
      <protection hidden="1"/>
    </xf>
    <xf numFmtId="0" fontId="0" fillId="0" borderId="11" xfId="0" applyBorder="1" applyAlignment="1" applyProtection="1">
      <alignment horizontal="center" vertical="center" wrapText="1"/>
      <protection hidden="1"/>
    </xf>
    <xf numFmtId="0" fontId="0" fillId="0" borderId="50" xfId="0" applyBorder="1" applyAlignment="1" applyProtection="1">
      <alignment horizontal="center" vertical="center" wrapText="1"/>
      <protection hidden="1"/>
    </xf>
    <xf numFmtId="0" fontId="0" fillId="0" borderId="54" xfId="0" applyBorder="1" applyAlignment="1" applyProtection="1">
      <alignment horizontal="center" vertical="center" wrapText="1"/>
      <protection hidden="1"/>
    </xf>
    <xf numFmtId="0" fontId="0" fillId="0" borderId="29" xfId="0" applyBorder="1" applyAlignment="1" applyProtection="1">
      <alignment horizontal="center" vertical="center" wrapText="1"/>
      <protection hidden="1"/>
    </xf>
    <xf numFmtId="0" fontId="0" fillId="0" borderId="31" xfId="0" applyBorder="1" applyAlignment="1" applyProtection="1">
      <alignment horizontal="center" vertical="center" wrapText="1"/>
      <protection hidden="1"/>
    </xf>
    <xf numFmtId="0" fontId="13" fillId="0" borderId="19" xfId="0" applyFont="1" applyBorder="1" applyAlignment="1" applyProtection="1">
      <alignment horizontal="left" vertical="center" wrapText="1"/>
      <protection hidden="1"/>
    </xf>
    <xf numFmtId="0" fontId="13" fillId="0" borderId="23" xfId="0" applyFont="1" applyBorder="1" applyAlignment="1" applyProtection="1">
      <alignment horizontal="left" vertical="center" wrapText="1"/>
      <protection hidden="1"/>
    </xf>
    <xf numFmtId="0" fontId="13" fillId="0" borderId="24" xfId="0" applyFont="1" applyBorder="1" applyAlignment="1" applyProtection="1">
      <alignment horizontal="left" vertical="center" wrapText="1"/>
      <protection hidden="1"/>
    </xf>
    <xf numFmtId="0" fontId="13" fillId="0" borderId="28" xfId="0" applyFont="1" applyBorder="1" applyAlignment="1" applyProtection="1">
      <alignment horizontal="left" vertical="center" wrapText="1"/>
      <protection hidden="1"/>
    </xf>
    <xf numFmtId="0" fontId="26" fillId="7" borderId="1" xfId="0" applyFont="1" applyFill="1" applyBorder="1" applyAlignment="1" applyProtection="1">
      <alignment vertical="center" wrapText="1"/>
      <protection hidden="1"/>
    </xf>
    <xf numFmtId="0" fontId="26" fillId="7" borderId="9" xfId="0" applyFont="1" applyFill="1" applyBorder="1" applyAlignment="1" applyProtection="1">
      <alignment vertical="center" wrapText="1"/>
      <protection hidden="1"/>
    </xf>
    <xf numFmtId="0" fontId="26" fillId="7" borderId="11" xfId="0" applyFont="1" applyFill="1" applyBorder="1" applyAlignment="1" applyProtection="1">
      <alignment vertical="center" wrapText="1"/>
      <protection hidden="1"/>
    </xf>
    <xf numFmtId="0" fontId="13" fillId="0" borderId="56" xfId="0" applyFont="1" applyBorder="1" applyAlignment="1" applyProtection="1">
      <alignment horizontal="left" vertical="center" wrapText="1"/>
      <protection hidden="1"/>
    </xf>
    <xf numFmtId="0" fontId="26" fillId="4" borderId="0" xfId="0" applyFont="1" applyFill="1" applyAlignment="1" applyProtection="1">
      <alignment horizontal="center" vertical="center" textRotation="90"/>
      <protection hidden="1"/>
    </xf>
    <xf numFmtId="0" fontId="28" fillId="4" borderId="0" xfId="0" applyFont="1" applyFill="1" applyAlignment="1" applyProtection="1">
      <alignment horizontal="center" vertical="center" textRotation="90"/>
      <protection hidden="1"/>
    </xf>
    <xf numFmtId="0" fontId="0" fillId="16" borderId="1" xfId="0" applyFill="1" applyBorder="1" applyAlignment="1" applyProtection="1">
      <alignment horizontal="center" vertical="center"/>
      <protection hidden="1"/>
    </xf>
    <xf numFmtId="0" fontId="0" fillId="16" borderId="2" xfId="0" applyFill="1" applyBorder="1" applyAlignment="1" applyProtection="1">
      <alignment horizontal="center" vertical="center"/>
      <protection hidden="1"/>
    </xf>
    <xf numFmtId="0" fontId="0" fillId="16" borderId="3" xfId="0" applyFill="1" applyBorder="1" applyAlignment="1" applyProtection="1">
      <alignment horizontal="center" vertical="center"/>
      <protection hidden="1"/>
    </xf>
    <xf numFmtId="0" fontId="14" fillId="7" borderId="1" xfId="0" applyFont="1" applyFill="1" applyBorder="1" applyAlignment="1" applyProtection="1">
      <alignment horizontal="left" vertical="center" wrapText="1"/>
      <protection hidden="1"/>
    </xf>
    <xf numFmtId="0" fontId="14" fillId="7" borderId="2" xfId="0" applyFont="1" applyFill="1" applyBorder="1" applyAlignment="1" applyProtection="1">
      <alignment horizontal="left" vertical="center" wrapText="1"/>
      <protection hidden="1"/>
    </xf>
    <xf numFmtId="0" fontId="14" fillId="7" borderId="3" xfId="0" applyFont="1" applyFill="1" applyBorder="1" applyAlignment="1" applyProtection="1">
      <alignment horizontal="left" vertical="center" wrapText="1"/>
      <protection hidden="1"/>
    </xf>
    <xf numFmtId="0" fontId="14" fillId="7" borderId="10" xfId="0" applyFont="1" applyFill="1" applyBorder="1" applyAlignment="1" applyProtection="1">
      <alignment horizontal="left" vertical="center"/>
      <protection hidden="1"/>
    </xf>
    <xf numFmtId="0" fontId="14" fillId="7" borderId="11" xfId="0" applyFont="1" applyFill="1" applyBorder="1" applyAlignment="1" applyProtection="1">
      <alignment horizontal="left" vertical="center"/>
      <protection hidden="1"/>
    </xf>
    <xf numFmtId="0" fontId="4" fillId="18" borderId="0" xfId="0" applyFont="1" applyFill="1" applyAlignment="1" applyProtection="1">
      <alignment horizontal="center" vertical="center" textRotation="90"/>
      <protection hidden="1"/>
    </xf>
    <xf numFmtId="0" fontId="14" fillId="8" borderId="1" xfId="0" applyFont="1" applyFill="1" applyBorder="1" applyAlignment="1" applyProtection="1">
      <alignment horizontal="left" vertical="center"/>
      <protection hidden="1"/>
    </xf>
    <xf numFmtId="0" fontId="14" fillId="8" borderId="3" xfId="0" applyFont="1" applyFill="1" applyBorder="1" applyAlignment="1" applyProtection="1">
      <alignment horizontal="left" vertical="center"/>
      <protection hidden="1"/>
    </xf>
    <xf numFmtId="0" fontId="13" fillId="6" borderId="0" xfId="0" applyFont="1" applyFill="1" applyAlignment="1" applyProtection="1">
      <alignment horizontal="center" vertical="center" wrapText="1"/>
      <protection hidden="1"/>
    </xf>
    <xf numFmtId="0" fontId="19" fillId="6" borderId="47" xfId="0" applyFont="1" applyFill="1" applyBorder="1" applyAlignment="1" applyProtection="1">
      <alignment horizontal="left" vertical="top" wrapText="1"/>
      <protection locked="0"/>
    </xf>
    <xf numFmtId="0" fontId="31" fillId="6" borderId="17" xfId="0" applyFont="1" applyFill="1" applyBorder="1" applyAlignment="1" applyProtection="1">
      <alignment horizontal="left" vertical="top" wrapText="1"/>
      <protection locked="0"/>
    </xf>
    <xf numFmtId="0" fontId="31" fillId="6" borderId="64" xfId="0" applyFont="1" applyFill="1" applyBorder="1" applyAlignment="1" applyProtection="1">
      <alignment horizontal="left" vertical="top" wrapText="1"/>
      <protection locked="0"/>
    </xf>
    <xf numFmtId="0" fontId="15" fillId="6" borderId="0" xfId="0" applyFont="1" applyFill="1" applyAlignment="1" applyProtection="1">
      <alignment horizontal="center" wrapText="1"/>
      <protection hidden="1"/>
    </xf>
    <xf numFmtId="0" fontId="26" fillId="6" borderId="6" xfId="0" applyFont="1" applyFill="1" applyBorder="1" applyAlignment="1" applyProtection="1">
      <alignment horizontal="center" vertical="center" wrapText="1"/>
      <protection hidden="1"/>
    </xf>
    <xf numFmtId="0" fontId="26" fillId="6" borderId="19" xfId="0" applyFont="1" applyFill="1" applyBorder="1" applyAlignment="1" applyProtection="1">
      <alignment horizontal="center" vertical="center" wrapText="1"/>
      <protection hidden="1"/>
    </xf>
    <xf numFmtId="0" fontId="15" fillId="6" borderId="24" xfId="0" applyFont="1" applyFill="1" applyBorder="1" applyAlignment="1" applyProtection="1">
      <alignment horizontal="center"/>
      <protection hidden="1"/>
    </xf>
    <xf numFmtId="0" fontId="15" fillId="6" borderId="25" xfId="0" applyFont="1" applyFill="1" applyBorder="1" applyAlignment="1" applyProtection="1">
      <alignment horizontal="center"/>
      <protection hidden="1"/>
    </xf>
    <xf numFmtId="0" fontId="15" fillId="6" borderId="19" xfId="0" applyFont="1" applyFill="1" applyBorder="1" applyAlignment="1" applyProtection="1">
      <alignment horizontal="center"/>
      <protection hidden="1"/>
    </xf>
    <xf numFmtId="0" fontId="15" fillId="6" borderId="20" xfId="0" applyFont="1" applyFill="1" applyBorder="1" applyAlignment="1" applyProtection="1">
      <alignment horizontal="center"/>
      <protection hidden="1"/>
    </xf>
    <xf numFmtId="1" fontId="15" fillId="6" borderId="1" xfId="0" applyNumberFormat="1" applyFont="1" applyFill="1" applyBorder="1" applyAlignment="1" applyProtection="1">
      <alignment horizontal="center" vertical="center"/>
      <protection locked="0" hidden="1"/>
    </xf>
    <xf numFmtId="1" fontId="15" fillId="6" borderId="3" xfId="0" applyNumberFormat="1" applyFont="1" applyFill="1" applyBorder="1" applyAlignment="1" applyProtection="1">
      <alignment horizontal="center" vertical="center"/>
      <protection locked="0" hidden="1"/>
    </xf>
    <xf numFmtId="1" fontId="15" fillId="6" borderId="29" xfId="0" applyNumberFormat="1" applyFont="1" applyFill="1" applyBorder="1" applyAlignment="1" applyProtection="1">
      <alignment horizontal="center" vertical="center"/>
      <protection locked="0" hidden="1"/>
    </xf>
    <xf numFmtId="1" fontId="15" fillId="6" borderId="31" xfId="0" applyNumberFormat="1" applyFont="1" applyFill="1" applyBorder="1" applyAlignment="1" applyProtection="1">
      <alignment horizontal="center" vertical="center"/>
      <protection locked="0" hidden="1"/>
    </xf>
    <xf numFmtId="1" fontId="15" fillId="6" borderId="10" xfId="0" applyNumberFormat="1" applyFont="1" applyFill="1" applyBorder="1" applyAlignment="1" applyProtection="1">
      <alignment horizontal="center" vertical="center"/>
      <protection locked="0" hidden="1"/>
    </xf>
    <xf numFmtId="1" fontId="15" fillId="6" borderId="11" xfId="0" applyNumberFormat="1" applyFont="1" applyFill="1" applyBorder="1" applyAlignment="1" applyProtection="1">
      <alignment horizontal="center" vertical="center"/>
      <protection locked="0" hidden="1"/>
    </xf>
    <xf numFmtId="0" fontId="0" fillId="3" borderId="21" xfId="0" applyFill="1" applyBorder="1" applyAlignment="1" applyProtection="1">
      <alignment horizontal="center" vertical="top" wrapText="1"/>
      <protection hidden="1"/>
    </xf>
    <xf numFmtId="0" fontId="0" fillId="3" borderId="8" xfId="0" applyFill="1" applyBorder="1" applyAlignment="1" applyProtection="1">
      <alignment horizontal="center" vertical="top" wrapText="1"/>
      <protection hidden="1"/>
    </xf>
    <xf numFmtId="0" fontId="14" fillId="6" borderId="34" xfId="0" applyFont="1" applyFill="1" applyBorder="1" applyAlignment="1" applyProtection="1">
      <alignment horizontal="center" vertical="center" textRotation="90"/>
      <protection hidden="1"/>
    </xf>
    <xf numFmtId="0" fontId="14" fillId="6" borderId="55" xfId="0" applyFont="1" applyFill="1" applyBorder="1" applyAlignment="1" applyProtection="1">
      <alignment horizontal="center" vertical="center" textRotation="90"/>
      <protection hidden="1"/>
    </xf>
    <xf numFmtId="0" fontId="14" fillId="6" borderId="46" xfId="0" applyFont="1" applyFill="1" applyBorder="1" applyAlignment="1" applyProtection="1">
      <alignment horizontal="center" vertical="center" textRotation="90"/>
      <protection hidden="1"/>
    </xf>
    <xf numFmtId="1" fontId="15" fillId="6" borderId="1" xfId="0" applyNumberFormat="1" applyFont="1" applyFill="1" applyBorder="1" applyAlignment="1" applyProtection="1">
      <alignment horizontal="center" vertical="center"/>
      <protection hidden="1"/>
    </xf>
    <xf numFmtId="1" fontId="15" fillId="6" borderId="3" xfId="0" applyNumberFormat="1" applyFont="1" applyFill="1" applyBorder="1" applyAlignment="1" applyProtection="1">
      <alignment horizontal="center" vertical="center"/>
      <protection hidden="1"/>
    </xf>
    <xf numFmtId="0" fontId="26" fillId="6" borderId="23" xfId="0" applyFont="1" applyFill="1" applyBorder="1" applyAlignment="1" applyProtection="1">
      <alignment horizontal="center" vertical="center" wrapText="1"/>
      <protection hidden="1"/>
    </xf>
    <xf numFmtId="0" fontId="26" fillId="6" borderId="24" xfId="0" applyFont="1" applyFill="1" applyBorder="1" applyAlignment="1" applyProtection="1">
      <alignment horizontal="center" vertical="center" wrapText="1"/>
      <protection hidden="1"/>
    </xf>
    <xf numFmtId="0" fontId="26" fillId="6" borderId="13" xfId="0" applyFont="1" applyFill="1" applyBorder="1" applyAlignment="1" applyProtection="1">
      <alignment horizontal="center" vertical="center" wrapText="1"/>
      <protection hidden="1"/>
    </xf>
    <xf numFmtId="0" fontId="26" fillId="6" borderId="14" xfId="0" applyFont="1" applyFill="1" applyBorder="1" applyAlignment="1" applyProtection="1">
      <alignment horizontal="center" vertical="center" wrapText="1"/>
      <protection hidden="1"/>
    </xf>
    <xf numFmtId="0" fontId="44" fillId="6" borderId="0" xfId="0" applyFont="1" applyFill="1" applyAlignment="1" applyProtection="1">
      <alignment horizontal="center" vertical="center" wrapText="1"/>
      <protection hidden="1"/>
    </xf>
    <xf numFmtId="0" fontId="31" fillId="6" borderId="0" xfId="0" applyFont="1" applyFill="1" applyAlignment="1" applyProtection="1">
      <alignment horizontal="center"/>
      <protection hidden="1"/>
    </xf>
    <xf numFmtId="0" fontId="31" fillId="6" borderId="61" xfId="0" applyFont="1" applyFill="1" applyBorder="1" applyAlignment="1" applyProtection="1">
      <alignment horizontal="center"/>
      <protection hidden="1"/>
    </xf>
    <xf numFmtId="0" fontId="5" fillId="6" borderId="0" xfId="0" applyFont="1" applyFill="1" applyAlignment="1" applyProtection="1">
      <alignment horizontal="center" vertical="center"/>
      <protection hidden="1"/>
    </xf>
    <xf numFmtId="0" fontId="19" fillId="6" borderId="0" xfId="0" applyFont="1" applyFill="1" applyAlignment="1" applyProtection="1">
      <alignment horizontal="center"/>
      <protection hidden="1"/>
    </xf>
    <xf numFmtId="0" fontId="15" fillId="3" borderId="24" xfId="0" applyFont="1" applyFill="1" applyBorder="1" applyAlignment="1" applyProtection="1">
      <alignment horizontal="left"/>
      <protection hidden="1"/>
    </xf>
    <xf numFmtId="0" fontId="15" fillId="3" borderId="25" xfId="0" applyFont="1" applyFill="1" applyBorder="1" applyAlignment="1" applyProtection="1">
      <alignment horizontal="left"/>
      <protection hidden="1"/>
    </xf>
    <xf numFmtId="0" fontId="15" fillId="6" borderId="1" xfId="0" applyFont="1" applyFill="1" applyBorder="1" applyAlignment="1" applyProtection="1">
      <alignment horizontal="center" vertical="center"/>
      <protection hidden="1"/>
    </xf>
    <xf numFmtId="0" fontId="15" fillId="6" borderId="3" xfId="0" applyFont="1" applyFill="1" applyBorder="1" applyAlignment="1" applyProtection="1">
      <alignment horizontal="center" vertical="center"/>
      <protection hidden="1"/>
    </xf>
    <xf numFmtId="0" fontId="15" fillId="6" borderId="2" xfId="0" applyFont="1" applyFill="1" applyBorder="1" applyAlignment="1" applyProtection="1">
      <alignment horizontal="center" vertical="center"/>
      <protection locked="0" hidden="1"/>
    </xf>
    <xf numFmtId="0" fontId="15" fillId="6" borderId="3" xfId="0" applyFont="1" applyFill="1" applyBorder="1" applyAlignment="1" applyProtection="1">
      <alignment horizontal="center" vertical="center"/>
      <protection locked="0" hidden="1"/>
    </xf>
    <xf numFmtId="0" fontId="15" fillId="3" borderId="14" xfId="0" applyFont="1" applyFill="1" applyBorder="1" applyAlignment="1" applyProtection="1">
      <alignment horizontal="left"/>
      <protection hidden="1"/>
    </xf>
    <xf numFmtId="0" fontId="15" fillId="3" borderId="15" xfId="0" applyFont="1" applyFill="1" applyBorder="1" applyAlignment="1" applyProtection="1">
      <alignment horizontal="left"/>
      <protection hidden="1"/>
    </xf>
    <xf numFmtId="0" fontId="14" fillId="6" borderId="1" xfId="0" applyFont="1" applyFill="1" applyBorder="1" applyAlignment="1" applyProtection="1">
      <alignment horizontal="center" vertical="center"/>
      <protection hidden="1"/>
    </xf>
    <xf numFmtId="0" fontId="14" fillId="6" borderId="3" xfId="0" applyFont="1" applyFill="1" applyBorder="1" applyAlignment="1" applyProtection="1">
      <alignment horizontal="center" vertical="center"/>
      <protection hidden="1"/>
    </xf>
    <xf numFmtId="0" fontId="15" fillId="6" borderId="17" xfId="0" applyFont="1" applyFill="1" applyBorder="1" applyProtection="1">
      <protection hidden="1"/>
    </xf>
    <xf numFmtId="0" fontId="15" fillId="6" borderId="18" xfId="0" applyFont="1" applyFill="1" applyBorder="1" applyProtection="1">
      <protection hidden="1"/>
    </xf>
    <xf numFmtId="0" fontId="0" fillId="3" borderId="49" xfId="0" applyFill="1" applyBorder="1" applyAlignment="1" applyProtection="1">
      <alignment horizontal="center" vertical="top" wrapText="1"/>
      <protection hidden="1"/>
    </xf>
    <xf numFmtId="0" fontId="31" fillId="0" borderId="0" xfId="0" applyFont="1" applyAlignment="1" applyProtection="1">
      <alignment horizontal="center" vertical="center"/>
      <protection hidden="1"/>
    </xf>
    <xf numFmtId="0" fontId="19" fillId="6" borderId="62" xfId="0" applyFont="1" applyFill="1" applyBorder="1" applyAlignment="1" applyProtection="1">
      <alignment horizontal="center"/>
      <protection hidden="1"/>
    </xf>
    <xf numFmtId="2" fontId="15" fillId="6" borderId="1" xfId="0" applyNumberFormat="1" applyFont="1" applyFill="1" applyBorder="1" applyAlignment="1" applyProtection="1">
      <alignment horizontal="center" vertical="center"/>
      <protection hidden="1"/>
    </xf>
    <xf numFmtId="2" fontId="15" fillId="6" borderId="3" xfId="0" applyNumberFormat="1" applyFont="1" applyFill="1" applyBorder="1" applyAlignment="1" applyProtection="1">
      <alignment horizontal="center" vertical="center"/>
      <protection hidden="1"/>
    </xf>
    <xf numFmtId="0" fontId="36" fillId="19" borderId="0" xfId="0" applyFont="1" applyFill="1" applyAlignment="1">
      <alignment horizontal="center" vertical="center"/>
    </xf>
    <xf numFmtId="0" fontId="36" fillId="15" borderId="14" xfId="0" applyFont="1" applyFill="1" applyBorder="1" applyAlignment="1">
      <alignment horizontal="center" vertical="center"/>
    </xf>
    <xf numFmtId="0" fontId="5" fillId="9" borderId="14" xfId="0" applyFont="1" applyFill="1" applyBorder="1" applyAlignment="1">
      <alignment horizontal="center" vertical="center"/>
    </xf>
    <xf numFmtId="0" fontId="15" fillId="6" borderId="0" xfId="0" applyFont="1" applyFill="1" applyAlignment="1">
      <alignment horizontal="center"/>
    </xf>
  </cellXfs>
  <cellStyles count="2">
    <cellStyle name="Normální" xfId="0" builtinId="0"/>
    <cellStyle name="Procenta" xfId="1" builtinId="5"/>
  </cellStyles>
  <dxfs count="22">
    <dxf>
      <fill>
        <patternFill>
          <bgColor theme="5" tint="0.39994506668294322"/>
        </patternFill>
      </fill>
    </dxf>
    <dxf>
      <font>
        <b/>
        <i val="0"/>
      </font>
      <fill>
        <patternFill>
          <bgColor rgb="FFFFFF00"/>
        </patternFill>
      </fill>
    </dxf>
    <dxf>
      <font>
        <b/>
        <i val="0"/>
        <color theme="1"/>
      </font>
      <fill>
        <patternFill>
          <bgColor rgb="FFFFFF99"/>
        </patternFill>
      </fill>
      <border>
        <left style="thin">
          <color auto="1"/>
        </left>
        <right style="thin">
          <color auto="1"/>
        </right>
        <top style="thin">
          <color auto="1"/>
        </top>
        <bottom style="thin">
          <color auto="1"/>
        </bottom>
        <vertical/>
        <horizontal/>
      </border>
    </dxf>
    <dxf>
      <font>
        <b/>
        <i val="0"/>
        <color theme="1"/>
      </font>
      <fill>
        <patternFill>
          <bgColor rgb="FFF05A4A"/>
        </patternFill>
      </fill>
    </dxf>
    <dxf>
      <font>
        <b/>
        <i val="0"/>
      </font>
      <fill>
        <patternFill>
          <bgColor theme="5" tint="0.59996337778862885"/>
        </patternFill>
      </fill>
    </dxf>
    <dxf>
      <font>
        <color theme="0"/>
      </font>
      <fill>
        <patternFill>
          <bgColor theme="0"/>
        </patternFill>
      </fill>
      <border>
        <left/>
        <right/>
        <top/>
        <bottom/>
        <vertical/>
        <horizontal/>
      </border>
    </dxf>
    <dxf>
      <fill>
        <patternFill>
          <bgColor theme="5" tint="0.39994506668294322"/>
        </patternFill>
      </fill>
    </dxf>
    <dxf>
      <font>
        <color theme="0"/>
      </font>
    </dxf>
    <dxf>
      <font>
        <color rgb="FFFF0000"/>
      </font>
      <fill>
        <patternFill>
          <bgColor rgb="FFFFC000"/>
        </patternFill>
      </fill>
    </dxf>
    <dxf>
      <font>
        <b/>
        <i val="0"/>
        <color theme="1"/>
      </font>
      <fill>
        <patternFill>
          <bgColor rgb="FFFF0000"/>
        </patternFill>
      </fill>
    </dxf>
    <dxf>
      <font>
        <b/>
        <i val="0"/>
        <color theme="1"/>
      </font>
      <fill>
        <patternFill>
          <bgColor rgb="FFFF0000"/>
        </patternFill>
      </fill>
    </dxf>
    <dxf>
      <fill>
        <patternFill>
          <bgColor rgb="FFFFC000"/>
        </patternFill>
      </fill>
    </dxf>
    <dxf>
      <font>
        <color theme="1"/>
      </font>
    </dxf>
    <dxf>
      <font>
        <b val="0"/>
        <i val="0"/>
        <color theme="1"/>
      </font>
    </dxf>
    <dxf>
      <font>
        <color theme="1"/>
      </font>
      <fill>
        <patternFill>
          <bgColor theme="5" tint="0.79998168889431442"/>
        </patternFill>
      </fill>
      <border>
        <vertical/>
        <horizontal/>
      </border>
    </dxf>
    <dxf>
      <font>
        <color theme="1"/>
      </font>
      <fill>
        <patternFill>
          <bgColor theme="5" tint="0.79998168889431442"/>
        </patternFill>
      </fill>
    </dxf>
    <dxf>
      <font>
        <b val="0"/>
        <i/>
      </font>
      <fill>
        <patternFill>
          <bgColor rgb="FFF24C50"/>
        </patternFill>
      </fill>
    </dxf>
    <dxf>
      <font>
        <b/>
        <i val="0"/>
        <color theme="1"/>
      </font>
      <fill>
        <patternFill>
          <bgColor rgb="FFFFFF00"/>
        </patternFill>
      </fill>
      <border>
        <left style="thin">
          <color auto="1"/>
        </left>
        <right style="thin">
          <color auto="1"/>
        </right>
        <top style="thin">
          <color auto="1"/>
        </top>
        <bottom style="thin">
          <color auto="1"/>
        </bottom>
        <vertical/>
        <horizontal/>
      </border>
    </dxf>
    <dxf>
      <font>
        <b/>
        <i val="0"/>
        <color theme="1"/>
      </font>
      <fill>
        <patternFill>
          <bgColor theme="5" tint="0.39994506668294322"/>
        </patternFill>
      </fill>
      <border>
        <left style="thin">
          <color auto="1"/>
        </left>
        <right style="thin">
          <color auto="1"/>
        </right>
        <top style="thin">
          <color auto="1"/>
        </top>
        <bottom style="thin">
          <color auto="1"/>
        </bottom>
        <vertical/>
        <horizontal/>
      </border>
    </dxf>
    <dxf>
      <font>
        <b/>
        <i val="0"/>
        <color theme="1"/>
      </font>
      <fill>
        <patternFill>
          <bgColor theme="4" tint="0.39994506668294322"/>
        </patternFill>
      </fill>
      <border>
        <left style="thin">
          <color auto="1"/>
        </left>
        <right style="thin">
          <color auto="1"/>
        </right>
        <top style="thin">
          <color auto="1"/>
        </top>
        <bottom style="thin">
          <color auto="1"/>
        </bottom>
        <vertical/>
        <horizontal/>
      </border>
    </dxf>
    <dxf>
      <font>
        <b/>
        <i val="0"/>
        <color rgb="FFA50021"/>
      </font>
    </dxf>
    <dxf>
      <font>
        <b/>
        <i val="0"/>
      </font>
      <fill>
        <patternFill>
          <bgColor rgb="FFFF0000"/>
        </patternFill>
      </fill>
    </dxf>
  </dxfs>
  <tableStyles count="0" defaultTableStyle="TableStyleMedium2" defaultPivotStyle="PivotStyleLight16"/>
  <colors>
    <mruColors>
      <color rgb="FFFFFF99"/>
      <color rgb="FFA50021"/>
      <color rgb="FFB482DA"/>
      <color rgb="FFF24C50"/>
      <color rgb="FFF05A4A"/>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Drop" dropLines="4" dropStyle="combo" dx="16" fmlaLink="'zdroj#1'!$A$1" fmlaRange="'zdroj#1'!$B$1:$B$4" noThreeD="1" sel="2" val="0"/>
</file>

<file path=xl/ctrlProps/ctrlProp10.xml><?xml version="1.0" encoding="utf-8"?>
<formControlPr xmlns="http://schemas.microsoft.com/office/spreadsheetml/2009/9/main" objectType="CheckBox" checked="Checked" fmlaLink="'zdroj#1'!$B$31" lockText="1" noThreeD="1"/>
</file>

<file path=xl/ctrlProps/ctrlProp11.xml><?xml version="1.0" encoding="utf-8"?>
<formControlPr xmlns="http://schemas.microsoft.com/office/spreadsheetml/2009/9/main" objectType="CheckBox" fmlaLink="'zdroj#1'!$B$32" lockText="1" noThreeD="1"/>
</file>

<file path=xl/ctrlProps/ctrlProp12.xml><?xml version="1.0" encoding="utf-8"?>
<formControlPr xmlns="http://schemas.microsoft.com/office/spreadsheetml/2009/9/main" objectType="CheckBox" fmlaLink="'zdroj#1'!$B$33" lockText="1" noThreeD="1"/>
</file>

<file path=xl/ctrlProps/ctrlProp13.xml><?xml version="1.0" encoding="utf-8"?>
<formControlPr xmlns="http://schemas.microsoft.com/office/spreadsheetml/2009/9/main" objectType="CheckBox" fmlaLink="'zdroj#1'!$B$34"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Drop" dropLines="7" dropStyle="combo" dx="16" fmlaLink="'zdroj#1'!$G$1" fmlaRange="'zdroj#1'!$H$1:$H$7" noThreeD="1" sel="5" val="0"/>
</file>

<file path=xl/ctrlProps/ctrlProp16.xml><?xml version="1.0" encoding="utf-8"?>
<formControlPr xmlns="http://schemas.microsoft.com/office/spreadsheetml/2009/9/main" objectType="Drop" dropLines="4" dropStyle="combo" dx="16" fmlaLink="'zdroj#1'!$J$1" fmlaRange="'zdroj#1'!$K$1:$K$4" noThreeD="1" sel="2" val="0"/>
</file>

<file path=xl/ctrlProps/ctrlProp17.xml><?xml version="1.0" encoding="utf-8"?>
<formControlPr xmlns="http://schemas.microsoft.com/office/spreadsheetml/2009/9/main" objectType="Drop" dropStyle="combo" dx="16" fmlaLink="'zdroj#1'!$J$2" fmlaRange="'zdroj#1'!$L$1:$L$4" noThreeD="1" sel="1" val="0"/>
</file>

<file path=xl/ctrlProps/ctrlProp18.xml><?xml version="1.0" encoding="utf-8"?>
<formControlPr xmlns="http://schemas.microsoft.com/office/spreadsheetml/2009/9/main" objectType="Drop" dropStyle="combo" dx="16" fmlaLink="'zdroj#1'!$J$3" fmlaRange="'zdroj#1'!$M$1:$M$4" noThreeD="1" sel="1" val="0"/>
</file>

<file path=xl/ctrlProps/ctrlProp19.xml><?xml version="1.0" encoding="utf-8"?>
<formControlPr xmlns="http://schemas.microsoft.com/office/spreadsheetml/2009/9/main" objectType="Drop" dropStyle="combo" dx="16" fmlaLink="'zdroj#1'!$S$45" fmlaRange="'zdroj#1'!$T$45:$T$49" noThreeD="1" sel="1" val="0"/>
</file>

<file path=xl/ctrlProps/ctrlProp2.xml><?xml version="1.0" encoding="utf-8"?>
<formControlPr xmlns="http://schemas.microsoft.com/office/spreadsheetml/2009/9/main" objectType="Drop" dropLines="5" dropStyle="combo" dx="16" fmlaLink="'zdroj#1'!$A$6" fmlaRange="'zdroj#1'!$B$6:$B$10" noThreeD="1" sel="2" val="0"/>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checked="Checked" firstButton="1" fmlaLink="'zdroj#1'!$S$52"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firstButton="1" fmlaLink="'zdroj#1'!$S$53"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Style="combo" dx="16" fmlaLink="'zdroj#1'!$A$12" fmlaRange="'zdroj#1'!$B$12:$B$16" noThreeD="1" sel="4" val="0"/>
</file>

<file path=xl/ctrlProps/ctrlProp30.xml><?xml version="1.0" encoding="utf-8"?>
<formControlPr xmlns="http://schemas.microsoft.com/office/spreadsheetml/2009/9/main" objectType="Radio" checked="Checked" firstButton="1" fmlaLink="'zdroj#1'!$S$54"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firstButton="1" fmlaLink="'zdroj#1'!$S$55"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fmlaLink="'zdroj#1'!$A$71"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Drop" dropLines="7" dropStyle="combo" dx="16" fmlaLink="'zdroj#1'!$A$18" fmlaRange="'zdroj#1'!$B$18:$B$23" noThreeD="1" sel="5" val="0"/>
</file>

<file path=xl/ctrlProps/ctrlProp40.xml><?xml version="1.0" encoding="utf-8"?>
<formControlPr xmlns="http://schemas.microsoft.com/office/spreadsheetml/2009/9/main" objectType="CheckBox" checked="Checked" fmlaLink="'zdroj#1'!$S$60" noThreeD="1"/>
</file>

<file path=xl/ctrlProps/ctrlProp41.xml><?xml version="1.0" encoding="utf-8"?>
<formControlPr xmlns="http://schemas.microsoft.com/office/spreadsheetml/2009/9/main" objectType="CheckBox" checked="Checked" fmlaLink="'zdroj#1'!$S$61" lockText="1" noThreeD="1"/>
</file>

<file path=xl/ctrlProps/ctrlProp42.xml><?xml version="1.0" encoding="utf-8"?>
<formControlPr xmlns="http://schemas.microsoft.com/office/spreadsheetml/2009/9/main" objectType="Drop" dropStyle="combo" dx="16" fmlaLink="'zdroj#1'!$J$43" fmlaRange="'zdroj#1'!$I$43:$I$75" noThreeD="1" sel="1" val="0"/>
</file>

<file path=xl/ctrlProps/ctrlProp43.xml><?xml version="1.0" encoding="utf-8"?>
<formControlPr xmlns="http://schemas.microsoft.com/office/spreadsheetml/2009/9/main" objectType="Drop" dropStyle="combo" dx="16" fmlaLink="'zdroj#1'!$K$43" fmlaRange="'zdroj#1'!$L$49:$L$54" noThreeD="1" sel="1" val="0"/>
</file>

<file path=xl/ctrlProps/ctrlProp44.xml><?xml version="1.0" encoding="utf-8"?>
<formControlPr xmlns="http://schemas.microsoft.com/office/spreadsheetml/2009/9/main" objectType="CheckBox" fmlaLink="'zdroj#1'!$T$17" lockText="1" noThreeD="1"/>
</file>

<file path=xl/ctrlProps/ctrlProp5.xml><?xml version="1.0" encoding="utf-8"?>
<formControlPr xmlns="http://schemas.microsoft.com/office/spreadsheetml/2009/9/main" objectType="CheckBox" fmlaLink="'zdroj#1'!$B$26" lockText="1" noThreeD="1"/>
</file>

<file path=xl/ctrlProps/ctrlProp6.xml><?xml version="1.0" encoding="utf-8"?>
<formControlPr xmlns="http://schemas.microsoft.com/office/spreadsheetml/2009/9/main" objectType="CheckBox" fmlaLink="'zdroj#1'!$B$27" lockText="1" noThreeD="1"/>
</file>

<file path=xl/ctrlProps/ctrlProp7.xml><?xml version="1.0" encoding="utf-8"?>
<formControlPr xmlns="http://schemas.microsoft.com/office/spreadsheetml/2009/9/main" objectType="CheckBox" fmlaLink="'zdroj#1'!$B$28" lockText="1" noThreeD="1"/>
</file>

<file path=xl/ctrlProps/ctrlProp8.xml><?xml version="1.0" encoding="utf-8"?>
<formControlPr xmlns="http://schemas.microsoft.com/office/spreadsheetml/2009/9/main" objectType="CheckBox" fmlaLink="'zdroj#1'!$B$29" lockText="1" noThreeD="1"/>
</file>

<file path=xl/ctrlProps/ctrlProp9.xml><?xml version="1.0" encoding="utf-8"?>
<formControlPr xmlns="http://schemas.microsoft.com/office/spreadsheetml/2009/9/main" objectType="CheckBox" fmlaLink="'zdroj#1'!$B$3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1895475</xdr:colOff>
          <xdr:row>13</xdr:row>
          <xdr:rowOff>209550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514350</xdr:colOff>
          <xdr:row>17</xdr:row>
          <xdr:rowOff>0</xdr:rowOff>
        </xdr:to>
        <xdr:sp macro="" textlink="">
          <xdr:nvSpPr>
            <xdr:cNvPr id="3076" name="Drop Down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19050</xdr:rowOff>
        </xdr:from>
        <xdr:to>
          <xdr:col>3</xdr:col>
          <xdr:colOff>1057275</xdr:colOff>
          <xdr:row>20</xdr:row>
          <xdr:rowOff>28575</xdr:rowOff>
        </xdr:to>
        <xdr:sp macro="" textlink="">
          <xdr:nvSpPr>
            <xdr:cNvPr id="3077" name="Drop Down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22</xdr:row>
          <xdr:rowOff>19050</xdr:rowOff>
        </xdr:from>
        <xdr:to>
          <xdr:col>6</xdr:col>
          <xdr:colOff>0</xdr:colOff>
          <xdr:row>23</xdr:row>
          <xdr:rowOff>57150</xdr:rowOff>
        </xdr:to>
        <xdr:sp macro="" textlink="">
          <xdr:nvSpPr>
            <xdr:cNvPr id="3078" name="Drop Down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25</xdr:row>
          <xdr:rowOff>219075</xdr:rowOff>
        </xdr:from>
        <xdr:to>
          <xdr:col>3</xdr:col>
          <xdr:colOff>600075</xdr:colOff>
          <xdr:row>25</xdr:row>
          <xdr:rowOff>438150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26</xdr:row>
          <xdr:rowOff>295275</xdr:rowOff>
        </xdr:from>
        <xdr:to>
          <xdr:col>3</xdr:col>
          <xdr:colOff>609600</xdr:colOff>
          <xdr:row>26</xdr:row>
          <xdr:rowOff>438150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27</xdr:row>
          <xdr:rowOff>19050</xdr:rowOff>
        </xdr:from>
        <xdr:to>
          <xdr:col>3</xdr:col>
          <xdr:colOff>609600</xdr:colOff>
          <xdr:row>27</xdr:row>
          <xdr:rowOff>171450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28</xdr:row>
          <xdr:rowOff>19050</xdr:rowOff>
        </xdr:from>
        <xdr:to>
          <xdr:col>3</xdr:col>
          <xdr:colOff>609600</xdr:colOff>
          <xdr:row>28</xdr:row>
          <xdr:rowOff>171450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29</xdr:row>
          <xdr:rowOff>19050</xdr:rowOff>
        </xdr:from>
        <xdr:to>
          <xdr:col>3</xdr:col>
          <xdr:colOff>609600</xdr:colOff>
          <xdr:row>29</xdr:row>
          <xdr:rowOff>152400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30</xdr:row>
          <xdr:rowOff>19050</xdr:rowOff>
        </xdr:from>
        <xdr:to>
          <xdr:col>3</xdr:col>
          <xdr:colOff>609600</xdr:colOff>
          <xdr:row>30</xdr:row>
          <xdr:rowOff>152400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31</xdr:row>
          <xdr:rowOff>19050</xdr:rowOff>
        </xdr:from>
        <xdr:to>
          <xdr:col>3</xdr:col>
          <xdr:colOff>609600</xdr:colOff>
          <xdr:row>31</xdr:row>
          <xdr:rowOff>171450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32</xdr:row>
          <xdr:rowOff>19050</xdr:rowOff>
        </xdr:from>
        <xdr:to>
          <xdr:col>3</xdr:col>
          <xdr:colOff>609600</xdr:colOff>
          <xdr:row>32</xdr:row>
          <xdr:rowOff>171450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33</xdr:row>
          <xdr:rowOff>19050</xdr:rowOff>
        </xdr:from>
        <xdr:to>
          <xdr:col>3</xdr:col>
          <xdr:colOff>609600</xdr:colOff>
          <xdr:row>33</xdr:row>
          <xdr:rowOff>171450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1552575</xdr:colOff>
          <xdr:row>24</xdr:row>
          <xdr:rowOff>28575</xdr:rowOff>
        </xdr:from>
        <xdr:to>
          <xdr:col>1</xdr:col>
          <xdr:colOff>1771650</xdr:colOff>
          <xdr:row>24</xdr:row>
          <xdr:rowOff>180975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36</xdr:row>
          <xdr:rowOff>19050</xdr:rowOff>
        </xdr:from>
        <xdr:to>
          <xdr:col>1</xdr:col>
          <xdr:colOff>1943100</xdr:colOff>
          <xdr:row>37</xdr:row>
          <xdr:rowOff>19050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8</xdr:row>
          <xdr:rowOff>0</xdr:rowOff>
        </xdr:from>
        <xdr:to>
          <xdr:col>4</xdr:col>
          <xdr:colOff>552450</xdr:colOff>
          <xdr:row>9</xdr:row>
          <xdr:rowOff>19050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xdr:row>
          <xdr:rowOff>19050</xdr:rowOff>
        </xdr:from>
        <xdr:to>
          <xdr:col>4</xdr:col>
          <xdr:colOff>552450</xdr:colOff>
          <xdr:row>10</xdr:row>
          <xdr:rowOff>0</xdr:rowOff>
        </xdr:to>
        <xdr:sp macro="" textlink="">
          <xdr:nvSpPr>
            <xdr:cNvPr id="3127" name="Drop Down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xdr:row>
          <xdr:rowOff>219075</xdr:rowOff>
        </xdr:from>
        <xdr:to>
          <xdr:col>4</xdr:col>
          <xdr:colOff>552450</xdr:colOff>
          <xdr:row>10</xdr:row>
          <xdr:rowOff>209550</xdr:rowOff>
        </xdr:to>
        <xdr:sp macro="" textlink="">
          <xdr:nvSpPr>
            <xdr:cNvPr id="3128" name="Drop Down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19050</xdr:rowOff>
        </xdr:from>
        <xdr:to>
          <xdr:col>7</xdr:col>
          <xdr:colOff>0</xdr:colOff>
          <xdr:row>105</xdr:row>
          <xdr:rowOff>0</xdr:rowOff>
        </xdr:to>
        <xdr:sp macro="" textlink="">
          <xdr:nvSpPr>
            <xdr:cNvPr id="3139" name="Drop Down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108</xdr:row>
          <xdr:rowOff>381000</xdr:rowOff>
        </xdr:from>
        <xdr:to>
          <xdr:col>6</xdr:col>
          <xdr:colOff>1724025</xdr:colOff>
          <xdr:row>114</xdr:row>
          <xdr:rowOff>0</xdr:rowOff>
        </xdr:to>
        <xdr:sp macro="" textlink="">
          <xdr:nvSpPr>
            <xdr:cNvPr id="3143" name="Group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1295400</xdr:colOff>
          <xdr:row>116</xdr:row>
          <xdr:rowOff>19050</xdr:rowOff>
        </xdr:from>
        <xdr:to>
          <xdr:col>6</xdr:col>
          <xdr:colOff>1733550</xdr:colOff>
          <xdr:row>121</xdr:row>
          <xdr:rowOff>0</xdr:rowOff>
        </xdr:to>
        <xdr:sp macro="" textlink="">
          <xdr:nvSpPr>
            <xdr:cNvPr id="3144" name="Group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123</xdr:row>
          <xdr:rowOff>19050</xdr:rowOff>
        </xdr:from>
        <xdr:to>
          <xdr:col>6</xdr:col>
          <xdr:colOff>1733550</xdr:colOff>
          <xdr:row>128</xdr:row>
          <xdr:rowOff>0</xdr:rowOff>
        </xdr:to>
        <xdr:sp macro="" textlink="">
          <xdr:nvSpPr>
            <xdr:cNvPr id="3145" name="Group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130</xdr:row>
          <xdr:rowOff>19050</xdr:rowOff>
        </xdr:from>
        <xdr:to>
          <xdr:col>7</xdr:col>
          <xdr:colOff>0</xdr:colOff>
          <xdr:row>135</xdr:row>
          <xdr:rowOff>0</xdr:rowOff>
        </xdr:to>
        <xdr:sp macro="" textlink="">
          <xdr:nvSpPr>
            <xdr:cNvPr id="3146" name="Group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110</xdr:row>
          <xdr:rowOff>209550</xdr:rowOff>
        </xdr:from>
        <xdr:to>
          <xdr:col>5</xdr:col>
          <xdr:colOff>857250</xdr:colOff>
          <xdr:row>111</xdr:row>
          <xdr:rowOff>180975</xdr:rowOff>
        </xdr:to>
        <xdr:sp macro="" textlink="">
          <xdr:nvSpPr>
            <xdr:cNvPr id="3147" name="Option Button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110</xdr:row>
          <xdr:rowOff>209550</xdr:rowOff>
        </xdr:from>
        <xdr:to>
          <xdr:col>6</xdr:col>
          <xdr:colOff>752475</xdr:colOff>
          <xdr:row>111</xdr:row>
          <xdr:rowOff>180975</xdr:rowOff>
        </xdr:to>
        <xdr:sp macro="" textlink="">
          <xdr:nvSpPr>
            <xdr:cNvPr id="3148" name="Option Button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800100</xdr:colOff>
          <xdr:row>110</xdr:row>
          <xdr:rowOff>180975</xdr:rowOff>
        </xdr:from>
        <xdr:to>
          <xdr:col>6</xdr:col>
          <xdr:colOff>1295400</xdr:colOff>
          <xdr:row>111</xdr:row>
          <xdr:rowOff>190500</xdr:rowOff>
        </xdr:to>
        <xdr:sp macro="" textlink="">
          <xdr:nvSpPr>
            <xdr:cNvPr id="3149" name="Option Button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117</xdr:row>
          <xdr:rowOff>171450</xdr:rowOff>
        </xdr:from>
        <xdr:to>
          <xdr:col>5</xdr:col>
          <xdr:colOff>742950</xdr:colOff>
          <xdr:row>119</xdr:row>
          <xdr:rowOff>0</xdr:rowOff>
        </xdr:to>
        <xdr:sp macro="" textlink="">
          <xdr:nvSpPr>
            <xdr:cNvPr id="3150" name="Option Button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117</xdr:row>
          <xdr:rowOff>171450</xdr:rowOff>
        </xdr:from>
        <xdr:to>
          <xdr:col>6</xdr:col>
          <xdr:colOff>600075</xdr:colOff>
          <xdr:row>119</xdr:row>
          <xdr:rowOff>0</xdr:rowOff>
        </xdr:to>
        <xdr:sp macro="" textlink="">
          <xdr:nvSpPr>
            <xdr:cNvPr id="3151" name="Option Button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781050</xdr:colOff>
          <xdr:row>117</xdr:row>
          <xdr:rowOff>171450</xdr:rowOff>
        </xdr:from>
        <xdr:to>
          <xdr:col>6</xdr:col>
          <xdr:colOff>1238250</xdr:colOff>
          <xdr:row>119</xdr:row>
          <xdr:rowOff>0</xdr:rowOff>
        </xdr:to>
        <xdr:sp macro="" textlink="">
          <xdr:nvSpPr>
            <xdr:cNvPr id="3152" name="Option Button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125</xdr:row>
          <xdr:rowOff>0</xdr:rowOff>
        </xdr:from>
        <xdr:to>
          <xdr:col>5</xdr:col>
          <xdr:colOff>828675</xdr:colOff>
          <xdr:row>126</xdr:row>
          <xdr:rowOff>19050</xdr:rowOff>
        </xdr:to>
        <xdr:sp macro="" textlink="">
          <xdr:nvSpPr>
            <xdr:cNvPr id="3153" name="Option Button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124</xdr:row>
          <xdr:rowOff>180975</xdr:rowOff>
        </xdr:from>
        <xdr:to>
          <xdr:col>6</xdr:col>
          <xdr:colOff>723900</xdr:colOff>
          <xdr:row>126</xdr:row>
          <xdr:rowOff>19050</xdr:rowOff>
        </xdr:to>
        <xdr:sp macro="" textlink="">
          <xdr:nvSpPr>
            <xdr:cNvPr id="3154" name="Option Button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132</xdr:row>
          <xdr:rowOff>19050</xdr:rowOff>
        </xdr:from>
        <xdr:to>
          <xdr:col>5</xdr:col>
          <xdr:colOff>866775</xdr:colOff>
          <xdr:row>133</xdr:row>
          <xdr:rowOff>28575</xdr:rowOff>
        </xdr:to>
        <xdr:sp macro="" textlink="">
          <xdr:nvSpPr>
            <xdr:cNvPr id="3156" name="Option Button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Irelevantní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132</xdr:row>
          <xdr:rowOff>19050</xdr:rowOff>
        </xdr:from>
        <xdr:to>
          <xdr:col>6</xdr:col>
          <xdr:colOff>762000</xdr:colOff>
          <xdr:row>133</xdr:row>
          <xdr:rowOff>28575</xdr:rowOff>
        </xdr:to>
        <xdr:sp macro="" textlink="">
          <xdr:nvSpPr>
            <xdr:cNvPr id="3157" name="Option Button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199</xdr:row>
          <xdr:rowOff>209550</xdr:rowOff>
        </xdr:from>
        <xdr:to>
          <xdr:col>3</xdr:col>
          <xdr:colOff>0</xdr:colOff>
          <xdr:row>201</xdr:row>
          <xdr:rowOff>19050</xdr:rowOff>
        </xdr:to>
        <xdr:sp macro="" textlink="">
          <xdr:nvSpPr>
            <xdr:cNvPr id="3163" name="Group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200</xdr:row>
          <xdr:rowOff>57150</xdr:rowOff>
        </xdr:from>
        <xdr:to>
          <xdr:col>2</xdr:col>
          <xdr:colOff>781050</xdr:colOff>
          <xdr:row>201</xdr:row>
          <xdr:rowOff>0</xdr:rowOff>
        </xdr:to>
        <xdr:sp macro="" textlink="">
          <xdr:nvSpPr>
            <xdr:cNvPr id="3164" name="Option Button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857250</xdr:colOff>
          <xdr:row>200</xdr:row>
          <xdr:rowOff>57150</xdr:rowOff>
        </xdr:from>
        <xdr:to>
          <xdr:col>2</xdr:col>
          <xdr:colOff>1285875</xdr:colOff>
          <xdr:row>201</xdr:row>
          <xdr:rowOff>0</xdr:rowOff>
        </xdr:to>
        <xdr:sp macro="" textlink="">
          <xdr:nvSpPr>
            <xdr:cNvPr id="3165" name="Option Button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781050</xdr:colOff>
          <xdr:row>124</xdr:row>
          <xdr:rowOff>180975</xdr:rowOff>
        </xdr:from>
        <xdr:to>
          <xdr:col>6</xdr:col>
          <xdr:colOff>1257300</xdr:colOff>
          <xdr:row>126</xdr:row>
          <xdr:rowOff>19050</xdr:rowOff>
        </xdr:to>
        <xdr:sp macro="" textlink="">
          <xdr:nvSpPr>
            <xdr:cNvPr id="3175" name="Option Button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819150</xdr:colOff>
          <xdr:row>131</xdr:row>
          <xdr:rowOff>180975</xdr:rowOff>
        </xdr:from>
        <xdr:to>
          <xdr:col>6</xdr:col>
          <xdr:colOff>1333500</xdr:colOff>
          <xdr:row>133</xdr:row>
          <xdr:rowOff>57150</xdr:rowOff>
        </xdr:to>
        <xdr:sp macro="" textlink="">
          <xdr:nvSpPr>
            <xdr:cNvPr id="3176" name="Option Button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2114550</xdr:colOff>
          <xdr:row>201</xdr:row>
          <xdr:rowOff>133350</xdr:rowOff>
        </xdr:from>
        <xdr:to>
          <xdr:col>1</xdr:col>
          <xdr:colOff>2514600</xdr:colOff>
          <xdr:row>203</xdr:row>
          <xdr:rowOff>95250</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203</xdr:row>
          <xdr:rowOff>66675</xdr:rowOff>
        </xdr:from>
        <xdr:to>
          <xdr:col>3</xdr:col>
          <xdr:colOff>895350</xdr:colOff>
          <xdr:row>203</xdr:row>
          <xdr:rowOff>333375</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485775</xdr:colOff>
          <xdr:row>204</xdr:row>
          <xdr:rowOff>0</xdr:rowOff>
        </xdr:from>
        <xdr:to>
          <xdr:col>3</xdr:col>
          <xdr:colOff>1095375</xdr:colOff>
          <xdr:row>204</xdr:row>
          <xdr:rowOff>219075</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id="{00000000-0008-0000-0200-00006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11</xdr:row>
          <xdr:rowOff>190500</xdr:rowOff>
        </xdr:from>
        <xdr:to>
          <xdr:col>6</xdr:col>
          <xdr:colOff>0</xdr:colOff>
          <xdr:row>12</xdr:row>
          <xdr:rowOff>209550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4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xdr:row>
          <xdr:rowOff>190500</xdr:rowOff>
        </xdr:from>
        <xdr:to>
          <xdr:col>7</xdr:col>
          <xdr:colOff>1524000</xdr:colOff>
          <xdr:row>12</xdr:row>
          <xdr:rowOff>209550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4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1247775</xdr:colOff>
          <xdr:row>51</xdr:row>
          <xdr:rowOff>19050</xdr:rowOff>
        </xdr:from>
        <xdr:to>
          <xdr:col>9</xdr:col>
          <xdr:colOff>1619250</xdr:colOff>
          <xdr:row>52</xdr:row>
          <xdr:rowOff>19050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4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44.xml"/><Relationship Id="rId5" Type="http://schemas.openxmlformats.org/officeDocument/2006/relationships/ctrlProp" Target="../ctrlProps/ctrlProp43.xml"/><Relationship Id="rId4"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tabColor theme="1"/>
  </sheetPr>
  <dimension ref="A1:K13"/>
  <sheetViews>
    <sheetView topLeftCell="A1048576" zoomScale="115" zoomScaleNormal="115" workbookViewId="0">
      <selection activeCell="F4" sqref="F4:H4"/>
    </sheetView>
  </sheetViews>
  <sheetFormatPr defaultColWidth="0" defaultRowHeight="15" customHeight="1" zeroHeight="1" x14ac:dyDescent="0.25"/>
  <cols>
    <col min="1" max="1" width="5.5703125" style="5" customWidth="1"/>
    <col min="2" max="2" width="3.7109375" style="5" customWidth="1"/>
    <col min="3" max="7" width="9.28515625" style="5" customWidth="1"/>
    <col min="8" max="8" width="62.7109375" style="5" customWidth="1"/>
    <col min="9" max="9" width="9.28515625" style="5" customWidth="1"/>
    <col min="10" max="11" width="0" style="5" hidden="1" customWidth="1"/>
    <col min="12" max="16384" width="9.28515625" style="5" hidden="1"/>
  </cols>
  <sheetData>
    <row r="1" spans="3:11" x14ac:dyDescent="0.25"/>
    <row r="2" spans="3:11" x14ac:dyDescent="0.25">
      <c r="C2" s="368" t="s">
        <v>340</v>
      </c>
      <c r="D2" s="368"/>
      <c r="E2" s="368"/>
      <c r="F2" s="368"/>
      <c r="G2" s="368"/>
      <c r="H2" s="368"/>
    </row>
    <row r="3" spans="3:11" ht="15.75" thickBot="1" x14ac:dyDescent="0.3">
      <c r="C3" s="368"/>
      <c r="D3" s="368"/>
      <c r="E3" s="368"/>
      <c r="F3" s="368"/>
      <c r="G3" s="368"/>
      <c r="H3" s="368"/>
      <c r="K3" s="334" t="s">
        <v>418</v>
      </c>
    </row>
    <row r="4" spans="3:11" ht="15.75" thickBot="1" x14ac:dyDescent="0.3">
      <c r="C4" s="375" t="s">
        <v>407</v>
      </c>
      <c r="D4" s="376"/>
      <c r="E4" s="376"/>
      <c r="F4" s="377" t="s">
        <v>424</v>
      </c>
      <c r="G4" s="377"/>
      <c r="H4" s="378"/>
      <c r="K4" s="355" t="s">
        <v>423</v>
      </c>
    </row>
    <row r="5" spans="3:11" x14ac:dyDescent="0.25">
      <c r="K5" s="355" t="s">
        <v>424</v>
      </c>
    </row>
    <row r="6" spans="3:11" x14ac:dyDescent="0.25">
      <c r="C6" s="369" t="s">
        <v>405</v>
      </c>
      <c r="D6" s="370"/>
      <c r="E6" s="370"/>
      <c r="F6" s="370"/>
      <c r="G6" s="370"/>
      <c r="H6" s="371"/>
      <c r="K6" s="334"/>
    </row>
    <row r="7" spans="3:11" x14ac:dyDescent="0.25">
      <c r="K7" s="334" t="str">
        <f>F4</f>
        <v>MŽP_42.výzva, SC 1.4, opatření 1.4.1,1.4.2, 1.4.3, kolová/soutěžní</v>
      </c>
    </row>
    <row r="8" spans="3:11" ht="45.75" customHeight="1" x14ac:dyDescent="0.25">
      <c r="C8" s="372" t="s">
        <v>406</v>
      </c>
      <c r="D8" s="373"/>
      <c r="E8" s="373"/>
      <c r="F8" s="373"/>
      <c r="G8" s="373"/>
      <c r="H8" s="374"/>
    </row>
    <row r="9" spans="3:11" x14ac:dyDescent="0.25"/>
    <row r="10" spans="3:11" ht="36.75" customHeight="1" x14ac:dyDescent="0.25">
      <c r="C10" s="372" t="s">
        <v>417</v>
      </c>
      <c r="D10" s="373"/>
      <c r="E10" s="373"/>
      <c r="F10" s="373"/>
      <c r="G10" s="373"/>
      <c r="H10" s="374"/>
    </row>
    <row r="11" spans="3:11" x14ac:dyDescent="0.25"/>
    <row r="12" spans="3:11" ht="15" customHeight="1" x14ac:dyDescent="0.25"/>
    <row r="13" spans="3:11" x14ac:dyDescent="0.25"/>
  </sheetData>
  <sheetProtection algorithmName="SHA-512" hashValue="j/l4cPMc2rxol/sQwou1KV6SYWCtZxO4D/+qcPNPQpS9FMneG66fV1rOu3WPIfaOiF2EnyheBEKX6ErfYYk25g==" saltValue="JPhaNVCfY4sxPXs/hPjAMQ==" spinCount="100000" sheet="1" selectLockedCells="1"/>
  <mergeCells count="6">
    <mergeCell ref="C2:H3"/>
    <mergeCell ref="C6:H6"/>
    <mergeCell ref="C8:H8"/>
    <mergeCell ref="C10:H10"/>
    <mergeCell ref="C4:E4"/>
    <mergeCell ref="F4:H4"/>
  </mergeCells>
  <dataValidations count="1">
    <dataValidation type="list" allowBlank="1" showInputMessage="1" showErrorMessage="1" sqref="F4:H4" xr:uid="{00000000-0002-0000-0000-000000000000}">
      <formula1>$K$3:$K$5</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tabColor theme="5" tint="0.39997558519241921"/>
    <pageSetUpPr fitToPage="1"/>
  </sheetPr>
  <dimension ref="A1:K56"/>
  <sheetViews>
    <sheetView zoomScaleNormal="100" workbookViewId="0">
      <selection activeCell="B18" sqref="B18:G18"/>
    </sheetView>
  </sheetViews>
  <sheetFormatPr defaultColWidth="0" defaultRowHeight="15" zeroHeight="1" x14ac:dyDescent="0.25"/>
  <cols>
    <col min="1" max="1" width="2.42578125" style="278" customWidth="1"/>
    <col min="2" max="2" width="42.28515625" style="1" customWidth="1"/>
    <col min="3" max="3" width="34.28515625" style="1" customWidth="1"/>
    <col min="4" max="4" width="20.28515625" style="1" customWidth="1"/>
    <col min="5" max="5" width="16.5703125" style="33" customWidth="1"/>
    <col min="6" max="6" width="28.7109375" style="33" customWidth="1"/>
    <col min="7" max="7" width="12" style="183" customWidth="1"/>
    <col min="8" max="8" width="9.28515625" style="278" customWidth="1"/>
    <col min="9" max="9" width="9.42578125" style="266" hidden="1" customWidth="1"/>
    <col min="10" max="10" width="9.28515625" style="266" hidden="1" customWidth="1"/>
    <col min="11" max="11" width="0" style="1" hidden="1" customWidth="1"/>
    <col min="12" max="16384" width="9.28515625" style="1" hidden="1"/>
  </cols>
  <sheetData>
    <row r="1" spans="1:10" ht="9.75" customHeight="1" x14ac:dyDescent="0.25">
      <c r="B1" s="278"/>
      <c r="C1" s="278"/>
      <c r="D1" s="278"/>
      <c r="E1" s="5"/>
      <c r="F1" s="5"/>
      <c r="G1" s="280"/>
      <c r="I1" s="265"/>
      <c r="J1" s="265"/>
    </row>
    <row r="2" spans="1:10" ht="18.75" x14ac:dyDescent="0.25">
      <c r="B2" s="189" t="s">
        <v>76</v>
      </c>
      <c r="C2" s="189"/>
      <c r="D2" s="189"/>
      <c r="E2" s="189"/>
      <c r="F2" s="189" t="str">
        <f>'zdroj#1'!T16</f>
        <v>Výzva č. 05_23_042</v>
      </c>
      <c r="G2" s="189"/>
    </row>
    <row r="3" spans="1:10" ht="15.75" thickBot="1" x14ac:dyDescent="0.3">
      <c r="B3" s="281"/>
      <c r="C3" s="278"/>
      <c r="D3" s="278"/>
      <c r="E3" s="5"/>
      <c r="F3" s="5"/>
      <c r="G3" s="280"/>
    </row>
    <row r="4" spans="1:10" ht="16.5" thickBot="1" x14ac:dyDescent="0.3">
      <c r="B4" s="388" t="s">
        <v>341</v>
      </c>
      <c r="C4" s="389"/>
      <c r="D4" s="389"/>
      <c r="E4" s="389"/>
      <c r="F4" s="389"/>
      <c r="G4" s="390"/>
    </row>
    <row r="5" spans="1:10" ht="19.5" customHeight="1" x14ac:dyDescent="0.25">
      <c r="B5" s="272" t="s">
        <v>80</v>
      </c>
      <c r="C5" s="273" t="s">
        <v>441</v>
      </c>
      <c r="D5" s="194"/>
      <c r="E5" s="194"/>
      <c r="F5" s="194"/>
      <c r="G5" s="195"/>
    </row>
    <row r="6" spans="1:10" ht="18.75" customHeight="1" x14ac:dyDescent="0.25">
      <c r="B6" s="274" t="s">
        <v>79</v>
      </c>
      <c r="C6" s="275" t="s">
        <v>442</v>
      </c>
      <c r="D6" s="196"/>
      <c r="E6" s="196"/>
      <c r="F6" s="196"/>
      <c r="G6" s="197"/>
    </row>
    <row r="7" spans="1:10" ht="67.5" customHeight="1" x14ac:dyDescent="0.25">
      <c r="B7" s="274" t="s">
        <v>342</v>
      </c>
      <c r="C7" s="264" t="str">
        <f>'zdroj#1'!J7</f>
        <v>1.4.1 Dobudování a výstavba čistíren odpadních vod; dobudování a výstavba kanalizací</v>
      </c>
      <c r="D7" s="391" t="str">
        <f>'zdroj#1'!J8</f>
        <v>vybete Opatření #2 na listě Projekt#1 je-li relevantní</v>
      </c>
      <c r="E7" s="391"/>
      <c r="F7" s="391" t="str">
        <f>'zdroj#1'!J9</f>
        <v>vybete Opatření #3 na listě Projekt#1 je-li relevantní</v>
      </c>
      <c r="G7" s="392"/>
    </row>
    <row r="8" spans="1:10" ht="15.75" thickBot="1" x14ac:dyDescent="0.3">
      <c r="B8" s="278"/>
      <c r="C8" s="278"/>
      <c r="D8" s="278"/>
      <c r="E8" s="278"/>
      <c r="F8" s="278"/>
      <c r="G8" s="278"/>
    </row>
    <row r="9" spans="1:10" s="184" customFormat="1" ht="15.75" customHeight="1" thickBot="1" x14ac:dyDescent="0.3">
      <c r="A9" s="279"/>
      <c r="B9" s="379" t="s">
        <v>364</v>
      </c>
      <c r="C9" s="380"/>
      <c r="D9" s="380"/>
      <c r="E9" s="380"/>
      <c r="F9" s="380"/>
      <c r="G9" s="381"/>
      <c r="H9" s="279"/>
      <c r="I9" s="267"/>
      <c r="J9" s="266"/>
    </row>
    <row r="10" spans="1:10" s="184" customFormat="1" ht="41.25" customHeight="1" x14ac:dyDescent="0.25">
      <c r="A10" s="279"/>
      <c r="B10" s="393" t="s">
        <v>461</v>
      </c>
      <c r="C10" s="394"/>
      <c r="D10" s="394"/>
      <c r="E10" s="394"/>
      <c r="F10" s="394"/>
      <c r="G10" s="395"/>
      <c r="H10" s="279"/>
      <c r="I10" s="267"/>
      <c r="J10" s="267"/>
    </row>
    <row r="11" spans="1:10" s="184" customFormat="1" ht="13.5" thickBot="1" x14ac:dyDescent="0.3">
      <c r="A11" s="279"/>
      <c r="B11" s="396"/>
      <c r="C11" s="397"/>
      <c r="D11" s="397"/>
      <c r="E11" s="397"/>
      <c r="F11" s="397"/>
      <c r="G11" s="398"/>
      <c r="H11" s="279"/>
      <c r="I11" s="267"/>
      <c r="J11" s="267"/>
    </row>
    <row r="12" spans="1:10" s="279" customFormat="1" ht="13.5" thickBot="1" x14ac:dyDescent="0.3">
      <c r="B12" s="282"/>
      <c r="C12" s="282"/>
      <c r="D12" s="282"/>
      <c r="E12" s="283"/>
      <c r="F12" s="283"/>
      <c r="G12" s="284"/>
      <c r="I12" s="267"/>
      <c r="J12" s="267"/>
    </row>
    <row r="13" spans="1:10" s="184" customFormat="1" ht="16.5" thickBot="1" x14ac:dyDescent="0.3">
      <c r="A13" s="279"/>
      <c r="B13" s="379" t="s">
        <v>366</v>
      </c>
      <c r="C13" s="380"/>
      <c r="D13" s="380"/>
      <c r="E13" s="380"/>
      <c r="F13" s="380"/>
      <c r="G13" s="381"/>
      <c r="H13" s="279"/>
      <c r="I13" s="267"/>
      <c r="J13" s="267"/>
    </row>
    <row r="14" spans="1:10" s="184" customFormat="1" ht="54" customHeight="1" thickBot="1" x14ac:dyDescent="0.3">
      <c r="A14" s="279"/>
      <c r="B14" s="382" t="s">
        <v>462</v>
      </c>
      <c r="C14" s="383"/>
      <c r="D14" s="383"/>
      <c r="E14" s="383"/>
      <c r="F14" s="383"/>
      <c r="G14" s="384"/>
      <c r="H14" s="279"/>
      <c r="I14" s="267"/>
      <c r="J14" s="267"/>
    </row>
    <row r="15" spans="1:10" s="278" customFormat="1" ht="15.75" thickBot="1" x14ac:dyDescent="0.3">
      <c r="B15" s="285"/>
      <c r="E15" s="5"/>
      <c r="F15" s="5"/>
      <c r="G15" s="280"/>
      <c r="I15" s="266"/>
      <c r="J15" s="266"/>
    </row>
    <row r="16" spans="1:10" ht="16.5" thickBot="1" x14ac:dyDescent="0.3">
      <c r="B16" s="388" t="s">
        <v>378</v>
      </c>
      <c r="C16" s="389"/>
      <c r="D16" s="389"/>
      <c r="E16" s="389"/>
      <c r="F16" s="389"/>
      <c r="G16" s="390"/>
    </row>
    <row r="17" spans="1:10" x14ac:dyDescent="0.25">
      <c r="B17" s="399" t="s">
        <v>369</v>
      </c>
      <c r="C17" s="400" t="s">
        <v>343</v>
      </c>
      <c r="D17" s="400" t="s">
        <v>343</v>
      </c>
      <c r="E17" s="400" t="s">
        <v>343</v>
      </c>
      <c r="F17" s="400" t="s">
        <v>343</v>
      </c>
      <c r="G17" s="401" t="s">
        <v>343</v>
      </c>
    </row>
    <row r="18" spans="1:10" ht="75" customHeight="1" x14ac:dyDescent="0.25">
      <c r="B18" s="385" t="s">
        <v>444</v>
      </c>
      <c r="C18" s="386"/>
      <c r="D18" s="386"/>
      <c r="E18" s="386"/>
      <c r="F18" s="386"/>
      <c r="G18" s="387"/>
      <c r="I18" s="408"/>
    </row>
    <row r="19" spans="1:10" x14ac:dyDescent="0.25">
      <c r="B19" s="402" t="s">
        <v>370</v>
      </c>
      <c r="C19" s="403" t="s">
        <v>344</v>
      </c>
      <c r="D19" s="403" t="s">
        <v>344</v>
      </c>
      <c r="E19" s="403" t="s">
        <v>344</v>
      </c>
      <c r="F19" s="403" t="s">
        <v>344</v>
      </c>
      <c r="G19" s="404" t="s">
        <v>344</v>
      </c>
      <c r="I19" s="408"/>
    </row>
    <row r="20" spans="1:10" s="184" customFormat="1" ht="75" customHeight="1" thickBot="1" x14ac:dyDescent="0.3">
      <c r="A20" s="279"/>
      <c r="B20" s="405" t="s">
        <v>443</v>
      </c>
      <c r="C20" s="406"/>
      <c r="D20" s="406"/>
      <c r="E20" s="406"/>
      <c r="F20" s="406"/>
      <c r="G20" s="407"/>
      <c r="H20" s="279"/>
      <c r="I20" s="408"/>
      <c r="J20" s="267"/>
    </row>
    <row r="21" spans="1:10" s="184" customFormat="1" ht="16.5" customHeight="1" thickBot="1" x14ac:dyDescent="0.3">
      <c r="A21" s="360"/>
      <c r="B21" s="361"/>
      <c r="C21" s="361"/>
      <c r="D21" s="361"/>
      <c r="E21" s="361"/>
      <c r="F21" s="361"/>
      <c r="G21" s="361"/>
      <c r="H21" s="360"/>
      <c r="I21" s="408"/>
      <c r="J21" s="267"/>
    </row>
    <row r="22" spans="1:10" x14ac:dyDescent="0.25">
      <c r="B22" s="399" t="s">
        <v>371</v>
      </c>
      <c r="C22" s="400" t="s">
        <v>345</v>
      </c>
      <c r="D22" s="400" t="s">
        <v>345</v>
      </c>
      <c r="E22" s="400" t="s">
        <v>345</v>
      </c>
      <c r="F22" s="400" t="s">
        <v>345</v>
      </c>
      <c r="G22" s="401" t="s">
        <v>345</v>
      </c>
      <c r="I22" s="408"/>
    </row>
    <row r="23" spans="1:10" ht="75" customHeight="1" x14ac:dyDescent="0.25">
      <c r="B23" s="385" t="s">
        <v>445</v>
      </c>
      <c r="C23" s="386"/>
      <c r="D23" s="386"/>
      <c r="E23" s="386"/>
      <c r="F23" s="386"/>
      <c r="G23" s="387"/>
      <c r="I23" s="408"/>
    </row>
    <row r="24" spans="1:10" x14ac:dyDescent="0.25">
      <c r="B24" s="409" t="s">
        <v>372</v>
      </c>
      <c r="C24" s="410" t="s">
        <v>345</v>
      </c>
      <c r="D24" s="410" t="s">
        <v>345</v>
      </c>
      <c r="E24" s="410" t="s">
        <v>345</v>
      </c>
      <c r="F24" s="410" t="s">
        <v>345</v>
      </c>
      <c r="G24" s="411" t="s">
        <v>345</v>
      </c>
      <c r="I24" s="408"/>
    </row>
    <row r="25" spans="1:10" ht="75" customHeight="1" thickBot="1" x14ac:dyDescent="0.3">
      <c r="B25" s="405" t="s">
        <v>446</v>
      </c>
      <c r="C25" s="406"/>
      <c r="D25" s="406"/>
      <c r="E25" s="406"/>
      <c r="F25" s="406"/>
      <c r="G25" s="407"/>
      <c r="I25" s="408"/>
    </row>
    <row r="26" spans="1:10" s="279" customFormat="1" ht="16.5" customHeight="1" thickBot="1" x14ac:dyDescent="0.3">
      <c r="B26" s="362"/>
      <c r="C26" s="362"/>
      <c r="D26" s="362"/>
      <c r="E26" s="362"/>
      <c r="F26" s="362"/>
      <c r="G26" s="362"/>
      <c r="H26" s="360"/>
      <c r="I26" s="408"/>
      <c r="J26" s="267"/>
    </row>
    <row r="27" spans="1:10" x14ac:dyDescent="0.25">
      <c r="B27" s="399" t="s">
        <v>377</v>
      </c>
      <c r="C27" s="400" t="s">
        <v>346</v>
      </c>
      <c r="D27" s="400" t="s">
        <v>346</v>
      </c>
      <c r="E27" s="400" t="s">
        <v>346</v>
      </c>
      <c r="F27" s="400" t="s">
        <v>346</v>
      </c>
      <c r="G27" s="401" t="s">
        <v>346</v>
      </c>
      <c r="I27" s="408"/>
    </row>
    <row r="28" spans="1:10" ht="75" customHeight="1" x14ac:dyDescent="0.25">
      <c r="B28" s="385" t="s">
        <v>447</v>
      </c>
      <c r="C28" s="386"/>
      <c r="D28" s="386"/>
      <c r="E28" s="386"/>
      <c r="F28" s="386"/>
      <c r="G28" s="387"/>
      <c r="I28" s="408"/>
    </row>
    <row r="29" spans="1:10" x14ac:dyDescent="0.25">
      <c r="B29" s="402" t="s">
        <v>373</v>
      </c>
      <c r="C29" s="403" t="s">
        <v>346</v>
      </c>
      <c r="D29" s="403" t="s">
        <v>346</v>
      </c>
      <c r="E29" s="403" t="s">
        <v>346</v>
      </c>
      <c r="F29" s="403" t="s">
        <v>346</v>
      </c>
      <c r="G29" s="404" t="s">
        <v>346</v>
      </c>
      <c r="I29" s="408"/>
    </row>
    <row r="30" spans="1:10" ht="75" customHeight="1" thickBot="1" x14ac:dyDescent="0.3">
      <c r="B30" s="405" t="s">
        <v>448</v>
      </c>
      <c r="C30" s="406"/>
      <c r="D30" s="406"/>
      <c r="E30" s="406"/>
      <c r="F30" s="406"/>
      <c r="G30" s="407"/>
      <c r="I30" s="408"/>
    </row>
    <row r="31" spans="1:10" s="279" customFormat="1" ht="16.5" customHeight="1" x14ac:dyDescent="0.25">
      <c r="B31" s="362"/>
      <c r="C31" s="362"/>
      <c r="D31" s="362"/>
      <c r="E31" s="362"/>
      <c r="F31" s="362"/>
      <c r="G31" s="362"/>
      <c r="H31" s="360"/>
      <c r="I31" s="408"/>
      <c r="J31" s="267"/>
    </row>
    <row r="32" spans="1:10" x14ac:dyDescent="0.25">
      <c r="B32" s="412" t="s">
        <v>374</v>
      </c>
      <c r="C32" s="413" t="s">
        <v>347</v>
      </c>
      <c r="D32" s="413" t="s">
        <v>347</v>
      </c>
      <c r="E32" s="413" t="s">
        <v>347</v>
      </c>
      <c r="F32" s="413" t="s">
        <v>347</v>
      </c>
      <c r="G32" s="414" t="s">
        <v>347</v>
      </c>
      <c r="I32" s="408"/>
    </row>
    <row r="33" spans="1:10" ht="75" customHeight="1" x14ac:dyDescent="0.25">
      <c r="B33" s="385" t="s">
        <v>450</v>
      </c>
      <c r="C33" s="386"/>
      <c r="D33" s="386"/>
      <c r="E33" s="386"/>
      <c r="F33" s="386"/>
      <c r="G33" s="387"/>
      <c r="I33" s="408"/>
    </row>
    <row r="34" spans="1:10" x14ac:dyDescent="0.25">
      <c r="B34" s="402" t="s">
        <v>376</v>
      </c>
      <c r="C34" s="403" t="s">
        <v>348</v>
      </c>
      <c r="D34" s="403" t="s">
        <v>348</v>
      </c>
      <c r="E34" s="403" t="s">
        <v>348</v>
      </c>
      <c r="F34" s="403" t="s">
        <v>348</v>
      </c>
      <c r="G34" s="404" t="s">
        <v>348</v>
      </c>
      <c r="I34" s="408"/>
    </row>
    <row r="35" spans="1:10" ht="75" customHeight="1" thickBot="1" x14ac:dyDescent="0.3">
      <c r="B35" s="416" t="s">
        <v>451</v>
      </c>
      <c r="C35" s="417"/>
      <c r="D35" s="417"/>
      <c r="E35" s="417"/>
      <c r="F35" s="417"/>
      <c r="G35" s="418"/>
      <c r="I35" s="408"/>
    </row>
    <row r="36" spans="1:10" s="279" customFormat="1" ht="16.5" customHeight="1" thickBot="1" x14ac:dyDescent="0.3">
      <c r="A36" s="360"/>
      <c r="B36" s="362"/>
      <c r="C36" s="362"/>
      <c r="D36" s="362"/>
      <c r="E36" s="362"/>
      <c r="F36" s="362"/>
      <c r="G36" s="362"/>
      <c r="I36" s="408"/>
      <c r="J36" s="267"/>
    </row>
    <row r="37" spans="1:10" ht="14.25" customHeight="1" x14ac:dyDescent="0.25">
      <c r="B37" s="419" t="s">
        <v>375</v>
      </c>
      <c r="C37" s="420" t="s">
        <v>348</v>
      </c>
      <c r="D37" s="420" t="s">
        <v>348</v>
      </c>
      <c r="E37" s="420" t="s">
        <v>348</v>
      </c>
      <c r="F37" s="420" t="s">
        <v>348</v>
      </c>
      <c r="G37" s="421" t="s">
        <v>348</v>
      </c>
      <c r="I37" s="408"/>
    </row>
    <row r="38" spans="1:10" ht="75" customHeight="1" thickBot="1" x14ac:dyDescent="0.3">
      <c r="B38" s="405" t="s">
        <v>449</v>
      </c>
      <c r="C38" s="406"/>
      <c r="D38" s="406"/>
      <c r="E38" s="406"/>
      <c r="F38" s="406"/>
      <c r="G38" s="407"/>
      <c r="I38" s="408"/>
    </row>
    <row r="39" spans="1:10" s="278" customFormat="1" x14ac:dyDescent="0.25">
      <c r="B39" s="415"/>
      <c r="C39" s="415"/>
      <c r="D39" s="415"/>
      <c r="E39" s="415"/>
      <c r="F39" s="415"/>
      <c r="G39" s="415"/>
      <c r="I39" s="266"/>
      <c r="J39" s="266"/>
    </row>
    <row r="40" spans="1:10" s="278" customFormat="1" x14ac:dyDescent="0.25">
      <c r="B40" s="415"/>
      <c r="C40" s="415"/>
      <c r="D40" s="415"/>
      <c r="E40" s="415"/>
      <c r="F40" s="415"/>
      <c r="G40" s="415"/>
      <c r="I40" s="266"/>
      <c r="J40" s="266"/>
    </row>
    <row r="41" spans="1:10" s="278" customFormat="1" x14ac:dyDescent="0.25">
      <c r="B41" s="415"/>
      <c r="C41" s="415"/>
      <c r="D41" s="415"/>
      <c r="E41" s="415"/>
      <c r="F41" s="415"/>
      <c r="G41" s="415"/>
      <c r="I41" s="266"/>
      <c r="J41" s="266"/>
    </row>
    <row r="42" spans="1:10" s="278" customFormat="1" x14ac:dyDescent="0.25">
      <c r="B42" s="415"/>
      <c r="C42" s="415"/>
      <c r="D42" s="415"/>
      <c r="E42" s="415"/>
      <c r="F42" s="415"/>
      <c r="G42" s="415"/>
      <c r="I42" s="266"/>
      <c r="J42" s="266"/>
    </row>
    <row r="43" spans="1:10" s="278" customFormat="1" hidden="1" x14ac:dyDescent="0.25">
      <c r="F43" s="286"/>
      <c r="G43" s="287"/>
      <c r="I43" s="266"/>
      <c r="J43" s="266"/>
    </row>
    <row r="44" spans="1:10" s="278" customFormat="1" hidden="1" x14ac:dyDescent="0.25">
      <c r="F44" s="286"/>
      <c r="G44" s="287"/>
      <c r="I44" s="266"/>
      <c r="J44" s="266"/>
    </row>
    <row r="45" spans="1:10" s="278" customFormat="1" hidden="1" x14ac:dyDescent="0.25">
      <c r="F45" s="286"/>
      <c r="G45" s="287"/>
      <c r="I45" s="266"/>
      <c r="J45" s="266"/>
    </row>
    <row r="46" spans="1:10" s="278" customFormat="1" hidden="1" x14ac:dyDescent="0.25">
      <c r="F46" s="286"/>
      <c r="G46" s="287"/>
      <c r="I46" s="266"/>
      <c r="J46" s="266"/>
    </row>
    <row r="47" spans="1:10" s="278" customFormat="1" hidden="1" x14ac:dyDescent="0.25">
      <c r="F47" s="286"/>
      <c r="G47" s="287"/>
      <c r="I47" s="266"/>
      <c r="J47" s="266"/>
    </row>
    <row r="48" spans="1:10" s="278" customFormat="1" hidden="1" x14ac:dyDescent="0.25">
      <c r="F48" s="286"/>
      <c r="G48" s="287"/>
      <c r="I48" s="266"/>
      <c r="J48" s="266"/>
    </row>
    <row r="49" spans="5:10" s="278" customFormat="1" hidden="1" x14ac:dyDescent="0.25">
      <c r="F49" s="286"/>
      <c r="G49" s="287"/>
      <c r="I49" s="266"/>
      <c r="J49" s="266"/>
    </row>
    <row r="50" spans="5:10" s="278" customFormat="1" hidden="1" x14ac:dyDescent="0.25">
      <c r="F50" s="286"/>
      <c r="G50" s="287"/>
      <c r="I50" s="266"/>
      <c r="J50" s="266"/>
    </row>
    <row r="51" spans="5:10" s="278" customFormat="1" hidden="1" x14ac:dyDescent="0.25">
      <c r="F51" s="286"/>
      <c r="G51" s="287"/>
      <c r="I51" s="266"/>
      <c r="J51" s="266"/>
    </row>
    <row r="52" spans="5:10" s="278" customFormat="1" hidden="1" x14ac:dyDescent="0.25">
      <c r="F52" s="286"/>
      <c r="G52" s="287"/>
      <c r="I52" s="266"/>
      <c r="J52" s="266"/>
    </row>
    <row r="53" spans="5:10" hidden="1" x14ac:dyDescent="0.25">
      <c r="E53" s="1"/>
      <c r="F53" s="185"/>
      <c r="G53" s="186"/>
    </row>
    <row r="54" spans="5:10" hidden="1" x14ac:dyDescent="0.25">
      <c r="E54" s="1"/>
      <c r="F54" s="185"/>
      <c r="G54" s="186"/>
    </row>
    <row r="55" spans="5:10" hidden="1" x14ac:dyDescent="0.25">
      <c r="E55" s="1"/>
      <c r="F55" s="185"/>
      <c r="G55" s="186"/>
    </row>
    <row r="56" spans="5:10" hidden="1" x14ac:dyDescent="0.25">
      <c r="E56" s="1"/>
      <c r="F56" s="185"/>
      <c r="G56" s="186"/>
    </row>
  </sheetData>
  <sheetProtection algorithmName="SHA-512" hashValue="TESs+DF/TMQIAnUsSNoego8pCxRuvrkDOtLhg0F7SXoe1Kcyou3d/u7m8gWDS0/D503YXSkD2KDSdbBuiHGlCg==" saltValue="n/rTrD7I9HZ2igE7WzJJAQ==" spinCount="100000" sheet="1" objects="1" scenarios="1" selectLockedCells="1"/>
  <mergeCells count="31">
    <mergeCell ref="B39:G39"/>
    <mergeCell ref="B40:G40"/>
    <mergeCell ref="B41:G41"/>
    <mergeCell ref="B42:G42"/>
    <mergeCell ref="B34:G34"/>
    <mergeCell ref="B35:G35"/>
    <mergeCell ref="B37:G37"/>
    <mergeCell ref="B38:G38"/>
    <mergeCell ref="I18:I38"/>
    <mergeCell ref="B22:G22"/>
    <mergeCell ref="B33:G33"/>
    <mergeCell ref="B24:G24"/>
    <mergeCell ref="B25:G25"/>
    <mergeCell ref="B27:G27"/>
    <mergeCell ref="B28:G28"/>
    <mergeCell ref="B29:G29"/>
    <mergeCell ref="B30:G30"/>
    <mergeCell ref="B32:G32"/>
    <mergeCell ref="B13:G13"/>
    <mergeCell ref="B14:G14"/>
    <mergeCell ref="B23:G23"/>
    <mergeCell ref="B16:G16"/>
    <mergeCell ref="B4:G4"/>
    <mergeCell ref="D7:E7"/>
    <mergeCell ref="F7:G7"/>
    <mergeCell ref="B9:G9"/>
    <mergeCell ref="B10:G11"/>
    <mergeCell ref="B17:G17"/>
    <mergeCell ref="B18:G18"/>
    <mergeCell ref="B19:G19"/>
    <mergeCell ref="B20:G20"/>
  </mergeCells>
  <pageMargins left="0.7" right="0.7" top="0.78740157499999996" bottom="0.78740157499999996" header="0.3" footer="0.3"/>
  <pageSetup paperSize="9" scale="52"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rgb="FFFFFF00"/>
    <pageSetUpPr fitToPage="1"/>
  </sheetPr>
  <dimension ref="A1:K299"/>
  <sheetViews>
    <sheetView tabSelected="1" zoomScale="85" zoomScaleNormal="85" zoomScaleSheetLayoutView="70" zoomScalePageLayoutView="40" workbookViewId="0">
      <selection activeCell="F228" sqref="F228"/>
    </sheetView>
  </sheetViews>
  <sheetFormatPr defaultColWidth="0" defaultRowHeight="15" zeroHeight="1" x14ac:dyDescent="0.25"/>
  <cols>
    <col min="1" max="1" width="2.7109375" style="46" customWidth="1"/>
    <col min="2" max="2" width="44.28515625" style="46" customWidth="1"/>
    <col min="3" max="3" width="24" style="46" customWidth="1"/>
    <col min="4" max="4" width="17.7109375" style="46" customWidth="1"/>
    <col min="5" max="5" width="18.42578125" style="46" customWidth="1"/>
    <col min="6" max="6" width="14.5703125" style="46" customWidth="1"/>
    <col min="7" max="7" width="24.7109375" style="46" customWidth="1"/>
    <col min="8" max="8" width="3.42578125" style="46" customWidth="1"/>
    <col min="9" max="9" width="26.28515625" style="45" customWidth="1"/>
    <col min="10" max="10" width="57" style="263" hidden="1" customWidth="1"/>
    <col min="11" max="11" width="10.42578125" style="46" hidden="1" customWidth="1"/>
    <col min="12" max="16384" width="9.28515625" style="46" hidden="1"/>
  </cols>
  <sheetData>
    <row r="1" spans="1:9" ht="9" customHeight="1" x14ac:dyDescent="0.25">
      <c r="A1" s="45"/>
      <c r="B1" s="45"/>
      <c r="C1" s="45"/>
      <c r="D1" s="45"/>
      <c r="E1" s="45"/>
      <c r="F1" s="45"/>
      <c r="H1" s="45"/>
    </row>
    <row r="2" spans="1:9" ht="21" x14ac:dyDescent="0.25">
      <c r="A2" s="45"/>
      <c r="B2" s="455" t="s">
        <v>76</v>
      </c>
      <c r="C2" s="455"/>
      <c r="D2" s="455"/>
      <c r="E2" s="47"/>
      <c r="F2" s="47" t="str">
        <f>'zdroj#1'!T16</f>
        <v>Výzva č. 05_23_042</v>
      </c>
      <c r="G2" s="47"/>
      <c r="H2" s="45"/>
      <c r="I2" s="46"/>
    </row>
    <row r="3" spans="1:9" ht="15.75" thickBot="1" x14ac:dyDescent="0.3">
      <c r="A3" s="45"/>
      <c r="B3" s="45"/>
      <c r="C3" s="45"/>
      <c r="D3" s="45"/>
      <c r="E3" s="45"/>
      <c r="F3" s="45"/>
      <c r="H3" s="45"/>
    </row>
    <row r="4" spans="1:9" ht="16.5" thickBot="1" x14ac:dyDescent="0.3">
      <c r="A4" s="48"/>
      <c r="B4" s="487" t="s">
        <v>253</v>
      </c>
      <c r="C4" s="488"/>
      <c r="D4" s="488"/>
      <c r="E4" s="488"/>
      <c r="F4" s="488"/>
      <c r="G4" s="489"/>
      <c r="H4" s="45"/>
    </row>
    <row r="5" spans="1:9" ht="15.75" x14ac:dyDescent="0.25">
      <c r="A5" s="48"/>
      <c r="B5" s="49" t="s">
        <v>80</v>
      </c>
      <c r="C5" s="276" t="str">
        <f>Popis_projektu!C5</f>
        <v>Obec Stěžery</v>
      </c>
      <c r="D5" s="268"/>
      <c r="E5" s="268"/>
      <c r="F5" s="268"/>
      <c r="G5" s="269"/>
      <c r="H5" s="45"/>
    </row>
    <row r="6" spans="1:9" ht="16.5" thickBot="1" x14ac:dyDescent="0.3">
      <c r="A6" s="48"/>
      <c r="B6" s="50" t="s">
        <v>79</v>
      </c>
      <c r="C6" s="277" t="str">
        <f>Popis_projektu!C6</f>
        <v>Odkanalizování obce Stěžery a Stěžírky - 1. etapa</v>
      </c>
      <c r="D6" s="270"/>
      <c r="E6" s="270"/>
      <c r="F6" s="270"/>
      <c r="G6" s="271"/>
      <c r="H6" s="45"/>
    </row>
    <row r="7" spans="1:9" ht="15.75" thickBot="1" x14ac:dyDescent="0.3">
      <c r="A7" s="48"/>
      <c r="B7" s="45"/>
      <c r="C7" s="45"/>
      <c r="D7" s="45"/>
      <c r="E7" s="45"/>
      <c r="F7" s="45"/>
      <c r="G7" s="45"/>
    </row>
    <row r="8" spans="1:9" ht="16.5" thickBot="1" x14ac:dyDescent="0.3">
      <c r="A8" s="48"/>
      <c r="B8" s="51" t="s">
        <v>259</v>
      </c>
      <c r="C8" s="45"/>
      <c r="D8" s="45"/>
      <c r="E8" s="45"/>
      <c r="F8" s="45"/>
      <c r="G8" s="45"/>
      <c r="H8" s="45"/>
    </row>
    <row r="9" spans="1:9" x14ac:dyDescent="0.25">
      <c r="A9" s="48"/>
      <c r="C9" s="45"/>
      <c r="D9" s="45"/>
      <c r="E9" s="45"/>
      <c r="F9" s="45"/>
      <c r="G9" s="45"/>
      <c r="H9" s="45"/>
    </row>
    <row r="10" spans="1:9" ht="18" customHeight="1" x14ac:dyDescent="0.25">
      <c r="A10" s="48"/>
      <c r="C10" s="45"/>
      <c r="D10" s="45"/>
      <c r="E10" s="45"/>
      <c r="F10" s="45"/>
      <c r="G10" s="45"/>
      <c r="H10" s="45"/>
    </row>
    <row r="11" spans="1:9" ht="16.5" customHeight="1" x14ac:dyDescent="0.25">
      <c r="A11" s="48"/>
      <c r="C11" s="45"/>
      <c r="D11" s="45"/>
      <c r="E11" s="45"/>
      <c r="F11" s="45"/>
      <c r="G11" s="45"/>
      <c r="H11" s="45"/>
    </row>
    <row r="12" spans="1:9" ht="15.75" thickBot="1" x14ac:dyDescent="0.3">
      <c r="A12" s="48"/>
      <c r="B12" s="45"/>
      <c r="C12" s="45"/>
      <c r="D12" s="45"/>
      <c r="E12" s="45"/>
      <c r="F12" s="45"/>
      <c r="G12" s="45"/>
      <c r="H12" s="45"/>
    </row>
    <row r="13" spans="1:9" ht="16.5" thickBot="1" x14ac:dyDescent="0.3">
      <c r="A13" s="48"/>
      <c r="B13" s="124" t="s">
        <v>254</v>
      </c>
      <c r="C13" s="193"/>
      <c r="D13" s="193"/>
      <c r="E13" s="193"/>
      <c r="F13" s="193"/>
      <c r="G13" s="45"/>
      <c r="H13" s="45"/>
    </row>
    <row r="14" spans="1:9" ht="17.25" customHeight="1" x14ac:dyDescent="0.25">
      <c r="A14" s="48"/>
      <c r="B14" s="45"/>
      <c r="C14" s="457"/>
      <c r="D14" s="457"/>
      <c r="E14" s="457"/>
      <c r="F14" s="457"/>
      <c r="G14" s="45"/>
      <c r="H14" s="45"/>
    </row>
    <row r="15" spans="1:9" ht="15.75" thickBot="1" x14ac:dyDescent="0.3">
      <c r="A15" s="45"/>
      <c r="B15" s="45"/>
      <c r="C15" s="45"/>
      <c r="D15" s="45"/>
      <c r="E15" s="45"/>
      <c r="F15" s="45"/>
      <c r="G15" s="45"/>
      <c r="H15" s="45"/>
    </row>
    <row r="16" spans="1:9" ht="16.5" thickBot="1" x14ac:dyDescent="0.3">
      <c r="A16" s="491" t="s">
        <v>77</v>
      </c>
      <c r="B16" s="446" t="s">
        <v>255</v>
      </c>
      <c r="C16" s="452"/>
      <c r="D16" s="452"/>
      <c r="E16" s="452"/>
      <c r="F16" s="447"/>
      <c r="H16" s="45"/>
    </row>
    <row r="17" spans="1:8" ht="16.5" customHeight="1" x14ac:dyDescent="0.25">
      <c r="A17" s="492"/>
      <c r="C17" s="45"/>
      <c r="D17" s="45"/>
      <c r="E17" s="45"/>
      <c r="F17" s="45"/>
      <c r="G17" s="45"/>
      <c r="H17" s="45"/>
    </row>
    <row r="18" spans="1:8" ht="15.75" thickBot="1" x14ac:dyDescent="0.3">
      <c r="A18" s="492"/>
      <c r="B18" s="45"/>
      <c r="C18" s="45"/>
      <c r="D18" s="45"/>
      <c r="E18" s="45"/>
      <c r="F18" s="45"/>
      <c r="G18" s="45"/>
      <c r="H18" s="45"/>
    </row>
    <row r="19" spans="1:8" ht="16.5" thickBot="1" x14ac:dyDescent="0.3">
      <c r="A19" s="492"/>
      <c r="B19" s="446" t="s">
        <v>256</v>
      </c>
      <c r="C19" s="452"/>
      <c r="D19" s="447"/>
      <c r="E19" s="45"/>
      <c r="F19" s="45"/>
      <c r="G19" s="45"/>
      <c r="H19" s="45"/>
    </row>
    <row r="20" spans="1:8" x14ac:dyDescent="0.25">
      <c r="A20" s="492"/>
      <c r="B20" s="52"/>
      <c r="C20" s="52"/>
      <c r="E20" s="45"/>
      <c r="F20" s="45"/>
      <c r="G20" s="45"/>
      <c r="H20" s="45"/>
    </row>
    <row r="21" spans="1:8" ht="15.75" thickBot="1" x14ac:dyDescent="0.3">
      <c r="A21" s="492"/>
      <c r="B21" s="53"/>
      <c r="C21" s="53"/>
      <c r="D21" s="45"/>
      <c r="E21" s="45"/>
      <c r="F21" s="45"/>
      <c r="G21" s="45"/>
      <c r="H21" s="53"/>
    </row>
    <row r="22" spans="1:8" ht="33.75" customHeight="1" thickBot="1" x14ac:dyDescent="0.3">
      <c r="A22" s="492"/>
      <c r="B22" s="496" t="s">
        <v>420</v>
      </c>
      <c r="C22" s="497"/>
      <c r="D22" s="497"/>
      <c r="E22" s="497"/>
      <c r="F22" s="498"/>
      <c r="G22" s="45"/>
      <c r="H22" s="45"/>
    </row>
    <row r="23" spans="1:8" x14ac:dyDescent="0.25">
      <c r="A23" s="492"/>
      <c r="G23" s="45"/>
      <c r="H23" s="45"/>
    </row>
    <row r="24" spans="1:8" ht="15.75" thickBot="1" x14ac:dyDescent="0.3">
      <c r="A24" s="492"/>
      <c r="B24" s="45"/>
      <c r="C24" s="45"/>
      <c r="D24" s="53"/>
      <c r="E24" s="45"/>
      <c r="F24" s="45"/>
      <c r="G24" s="45"/>
      <c r="H24" s="45"/>
    </row>
    <row r="25" spans="1:8" ht="16.5" thickBot="1" x14ac:dyDescent="0.3">
      <c r="A25" s="492"/>
      <c r="B25" s="499" t="s">
        <v>433</v>
      </c>
      <c r="C25" s="500"/>
      <c r="D25" s="45"/>
      <c r="E25" s="45"/>
      <c r="F25" s="45"/>
      <c r="G25" s="45"/>
      <c r="H25" s="45"/>
    </row>
    <row r="26" spans="1:8" ht="51.75" customHeight="1" x14ac:dyDescent="0.25">
      <c r="A26" s="492"/>
      <c r="B26" s="484" t="s">
        <v>13</v>
      </c>
      <c r="C26" s="485"/>
      <c r="D26" s="54"/>
      <c r="E26" s="45"/>
      <c r="F26" s="45"/>
      <c r="G26" s="45"/>
      <c r="H26" s="45"/>
    </row>
    <row r="27" spans="1:8" ht="65.25" customHeight="1" x14ac:dyDescent="0.25">
      <c r="A27" s="492"/>
      <c r="B27" s="463" t="s">
        <v>14</v>
      </c>
      <c r="C27" s="476"/>
      <c r="D27" s="55"/>
      <c r="E27" s="45"/>
      <c r="F27" s="45"/>
      <c r="G27" s="45"/>
      <c r="H27" s="45"/>
    </row>
    <row r="28" spans="1:8" x14ac:dyDescent="0.25">
      <c r="A28" s="492"/>
      <c r="B28" s="463" t="s">
        <v>15</v>
      </c>
      <c r="C28" s="476"/>
      <c r="D28" s="55"/>
      <c r="E28" s="45"/>
      <c r="F28" s="45"/>
      <c r="G28" s="45"/>
      <c r="H28" s="45"/>
    </row>
    <row r="29" spans="1:8" x14ac:dyDescent="0.25">
      <c r="A29" s="492"/>
      <c r="B29" s="463" t="s">
        <v>16</v>
      </c>
      <c r="C29" s="476"/>
      <c r="D29" s="55"/>
      <c r="E29" s="45"/>
      <c r="F29" s="45"/>
      <c r="G29" s="45"/>
      <c r="H29" s="45"/>
    </row>
    <row r="30" spans="1:8" x14ac:dyDescent="0.25">
      <c r="A30" s="492"/>
      <c r="B30" s="463" t="s">
        <v>17</v>
      </c>
      <c r="C30" s="476"/>
      <c r="D30" s="55"/>
      <c r="E30" s="45"/>
      <c r="F30" s="45"/>
      <c r="G30" s="45"/>
      <c r="H30" s="45"/>
    </row>
    <row r="31" spans="1:8" x14ac:dyDescent="0.25">
      <c r="A31" s="492"/>
      <c r="B31" s="463" t="s">
        <v>18</v>
      </c>
      <c r="C31" s="476"/>
      <c r="D31" s="55"/>
      <c r="E31" s="45"/>
      <c r="F31" s="45"/>
      <c r="G31" s="45"/>
      <c r="H31" s="45"/>
    </row>
    <row r="32" spans="1:8" x14ac:dyDescent="0.25">
      <c r="A32" s="492"/>
      <c r="B32" s="463" t="s">
        <v>19</v>
      </c>
      <c r="C32" s="476"/>
      <c r="D32" s="55"/>
      <c r="E32" s="45"/>
      <c r="F32" s="45"/>
      <c r="G32" s="45"/>
      <c r="H32" s="45"/>
    </row>
    <row r="33" spans="1:8" ht="15" customHeight="1" x14ac:dyDescent="0.25">
      <c r="A33" s="492"/>
      <c r="B33" s="463" t="s">
        <v>21</v>
      </c>
      <c r="C33" s="476"/>
      <c r="D33" s="55"/>
      <c r="E33" s="45"/>
      <c r="F33" s="45"/>
      <c r="G33" s="45"/>
      <c r="H33" s="45"/>
    </row>
    <row r="34" spans="1:8" ht="15.75" thickBot="1" x14ac:dyDescent="0.3">
      <c r="A34" s="492"/>
      <c r="B34" s="465" t="s">
        <v>20</v>
      </c>
      <c r="C34" s="483"/>
      <c r="D34" s="56"/>
      <c r="E34" s="45"/>
      <c r="F34" s="45"/>
      <c r="G34" s="45"/>
      <c r="H34" s="45"/>
    </row>
    <row r="35" spans="1:8" ht="9" customHeight="1" thickBot="1" x14ac:dyDescent="0.3">
      <c r="A35" s="492"/>
      <c r="B35" s="45"/>
      <c r="C35" s="45"/>
      <c r="D35" s="45"/>
      <c r="E35" s="45"/>
      <c r="F35" s="45"/>
      <c r="G35" s="45"/>
      <c r="H35" s="45"/>
    </row>
    <row r="36" spans="1:8" ht="16.5" thickBot="1" x14ac:dyDescent="0.3">
      <c r="A36" s="492"/>
      <c r="B36" s="446" t="s">
        <v>257</v>
      </c>
      <c r="C36" s="452"/>
      <c r="D36" s="452"/>
      <c r="E36" s="447"/>
      <c r="F36" s="45"/>
      <c r="G36" s="45"/>
      <c r="H36" s="45"/>
    </row>
    <row r="37" spans="1:8" x14ac:dyDescent="0.25">
      <c r="A37" s="492"/>
      <c r="B37" s="45"/>
      <c r="C37" s="45"/>
      <c r="D37" s="45"/>
      <c r="E37" s="45"/>
      <c r="F37" s="45"/>
      <c r="G37" s="45"/>
      <c r="H37" s="45"/>
    </row>
    <row r="38" spans="1:8" ht="15.75" thickBot="1" x14ac:dyDescent="0.3">
      <c r="B38" s="45"/>
      <c r="C38" s="45"/>
      <c r="D38" s="45"/>
      <c r="E38" s="45"/>
      <c r="F38" s="45"/>
      <c r="G38" s="45"/>
      <c r="H38" s="45"/>
    </row>
    <row r="39" spans="1:8" ht="16.5" thickBot="1" x14ac:dyDescent="0.3">
      <c r="A39" s="501" t="s">
        <v>78</v>
      </c>
      <c r="B39" s="446" t="s">
        <v>258</v>
      </c>
      <c r="C39" s="447"/>
      <c r="D39" s="57"/>
      <c r="E39" s="58"/>
      <c r="F39" s="58"/>
      <c r="G39" s="45"/>
      <c r="H39" s="45"/>
    </row>
    <row r="40" spans="1:8" ht="15.75" thickBot="1" x14ac:dyDescent="0.3">
      <c r="A40" s="501"/>
      <c r="B40" s="59" t="s">
        <v>185</v>
      </c>
      <c r="C40" s="199">
        <v>3945494.49</v>
      </c>
      <c r="D40" s="45"/>
      <c r="E40" s="60"/>
      <c r="F40" s="61"/>
      <c r="G40" s="45"/>
      <c r="H40" s="45"/>
    </row>
    <row r="41" spans="1:8" ht="15.75" thickBot="1" x14ac:dyDescent="0.3">
      <c r="A41" s="501"/>
      <c r="B41" s="62" t="s">
        <v>186</v>
      </c>
      <c r="C41" s="200">
        <f>22122129.84+9339608.4</f>
        <v>31461738.240000002</v>
      </c>
      <c r="D41" s="363">
        <f>C41+C40</f>
        <v>35407232.730000004</v>
      </c>
      <c r="E41" s="60"/>
      <c r="F41" s="61"/>
      <c r="H41" s="45"/>
    </row>
    <row r="42" spans="1:8" ht="30.75" thickBot="1" x14ac:dyDescent="0.3">
      <c r="A42" s="501"/>
      <c r="B42" s="63" t="s">
        <v>187</v>
      </c>
      <c r="C42" s="201">
        <v>0</v>
      </c>
      <c r="D42" s="64" t="s">
        <v>223</v>
      </c>
      <c r="E42" s="150" t="s">
        <v>225</v>
      </c>
      <c r="F42" s="61"/>
      <c r="G42" s="471" t="str">
        <f>IF(AND(C43+C42=0,OR('zdroj#1'!N52=2,'zdroj#1'!N52=5,'zdroj#1'!N52=0)),"V nákladovosti zůstalo bodové hodnocení i přes 0,- náklady","")</f>
        <v/>
      </c>
      <c r="H42" s="45"/>
    </row>
    <row r="43" spans="1:8" ht="15.75" thickBot="1" x14ac:dyDescent="0.3">
      <c r="A43" s="501"/>
      <c r="B43" s="65" t="s">
        <v>188</v>
      </c>
      <c r="C43" s="202">
        <v>0</v>
      </c>
      <c r="D43" s="364">
        <f>C43+C42</f>
        <v>0</v>
      </c>
      <c r="E43" s="66"/>
      <c r="F43" s="61"/>
      <c r="G43" s="471"/>
      <c r="H43" s="45"/>
    </row>
    <row r="44" spans="1:8" ht="15.75" thickBot="1" x14ac:dyDescent="0.3">
      <c r="A44" s="501"/>
      <c r="B44" s="67" t="s">
        <v>189</v>
      </c>
      <c r="C44" s="203">
        <f>32515758.92-1095196.91</f>
        <v>31420562.010000002</v>
      </c>
      <c r="D44" s="45"/>
      <c r="E44" s="60"/>
      <c r="F44" s="61"/>
      <c r="G44" s="45"/>
      <c r="H44" s="45"/>
    </row>
    <row r="45" spans="1:8" ht="30.75" thickBot="1" x14ac:dyDescent="0.3">
      <c r="A45" s="501"/>
      <c r="B45" s="68" t="s">
        <v>190</v>
      </c>
      <c r="C45" s="204">
        <v>0</v>
      </c>
      <c r="D45" s="64" t="s">
        <v>224</v>
      </c>
      <c r="E45" s="150" t="s">
        <v>225</v>
      </c>
      <c r="F45" s="61"/>
      <c r="G45" s="69" t="str">
        <f>IF(AND(C45=0,OR('zdroj#1'!N53=2,'zdroj#1'!N53=5,'zdroj#1'!N53=0)),"V nákladovosti zůstalo bodové hodnocení i přes 0,- náklady","")</f>
        <v/>
      </c>
      <c r="H45" s="45"/>
    </row>
    <row r="46" spans="1:8" x14ac:dyDescent="0.25">
      <c r="A46" s="501"/>
      <c r="B46" s="70" t="s">
        <v>69</v>
      </c>
      <c r="C46" s="71">
        <f>SUM(C40:C45)</f>
        <v>66827794.74000001</v>
      </c>
      <c r="D46" s="45"/>
      <c r="E46" s="72"/>
      <c r="F46" s="61"/>
      <c r="G46" s="45"/>
      <c r="H46" s="45"/>
    </row>
    <row r="47" spans="1:8" x14ac:dyDescent="0.25">
      <c r="A47" s="501"/>
      <c r="B47" s="73" t="s">
        <v>31</v>
      </c>
      <c r="C47" s="72"/>
      <c r="D47" s="72"/>
      <c r="E47" s="45"/>
      <c r="F47" s="61"/>
      <c r="G47" s="45"/>
      <c r="H47" s="45"/>
    </row>
    <row r="48" spans="1:8" x14ac:dyDescent="0.25">
      <c r="A48" s="501"/>
      <c r="B48" s="73" t="s">
        <v>30</v>
      </c>
      <c r="C48" s="72"/>
      <c r="D48" s="72"/>
      <c r="E48" s="45"/>
      <c r="F48" s="61"/>
      <c r="G48" s="45"/>
      <c r="H48" s="45"/>
    </row>
    <row r="49" spans="1:11" ht="15.75" thickBot="1" x14ac:dyDescent="0.3">
      <c r="A49" s="501"/>
      <c r="B49" s="74"/>
      <c r="C49" s="75"/>
      <c r="D49" s="75"/>
      <c r="E49" s="76"/>
      <c r="F49" s="66"/>
      <c r="G49" s="45"/>
      <c r="H49" s="45"/>
    </row>
    <row r="50" spans="1:11" ht="15.75" thickBot="1" x14ac:dyDescent="0.3">
      <c r="A50" s="501"/>
      <c r="B50" s="72"/>
      <c r="C50" s="72"/>
      <c r="D50" s="72"/>
      <c r="E50" s="45"/>
      <c r="F50" s="45"/>
      <c r="G50" s="45"/>
      <c r="H50" s="45"/>
    </row>
    <row r="51" spans="1:11" ht="16.5" thickBot="1" x14ac:dyDescent="0.3">
      <c r="A51" s="501"/>
      <c r="B51" s="446" t="s">
        <v>434</v>
      </c>
      <c r="C51" s="447"/>
      <c r="D51" s="72"/>
      <c r="E51" s="72"/>
      <c r="F51" s="72"/>
      <c r="G51" s="72"/>
      <c r="H51" s="45"/>
    </row>
    <row r="52" spans="1:11" ht="18.75" thickBot="1" x14ac:dyDescent="0.3">
      <c r="A52" s="501"/>
      <c r="B52" s="77" t="s">
        <v>45</v>
      </c>
      <c r="C52" s="78"/>
      <c r="D52" s="493" t="s">
        <v>260</v>
      </c>
      <c r="E52" s="494"/>
      <c r="F52" s="494"/>
      <c r="G52" s="495"/>
    </row>
    <row r="53" spans="1:11" ht="30.75" thickBot="1" x14ac:dyDescent="0.3">
      <c r="A53" s="501"/>
      <c r="B53" s="469" t="s">
        <v>208</v>
      </c>
      <c r="C53" s="470"/>
      <c r="D53" s="79" t="s">
        <v>33</v>
      </c>
      <c r="E53" s="79" t="s">
        <v>34</v>
      </c>
      <c r="F53" s="79" t="s">
        <v>35</v>
      </c>
      <c r="G53" s="79" t="s">
        <v>36</v>
      </c>
      <c r="H53" s="80" t="s">
        <v>191</v>
      </c>
    </row>
    <row r="54" spans="1:11" ht="15" customHeight="1" x14ac:dyDescent="0.25">
      <c r="A54" s="501"/>
      <c r="B54" s="81" t="s">
        <v>37</v>
      </c>
      <c r="C54" s="82"/>
      <c r="D54" s="83" t="s">
        <v>38</v>
      </c>
      <c r="E54" s="205">
        <v>0</v>
      </c>
      <c r="F54" s="205">
        <v>0</v>
      </c>
      <c r="G54" s="84">
        <f>E54-F54</f>
        <v>0</v>
      </c>
      <c r="H54" s="85">
        <f>IFERROR(G54/E54,0)</f>
        <v>0</v>
      </c>
      <c r="I54" s="86"/>
    </row>
    <row r="55" spans="1:11" ht="18" x14ac:dyDescent="0.25">
      <c r="A55" s="501"/>
      <c r="B55" s="87" t="s">
        <v>39</v>
      </c>
      <c r="C55" s="88"/>
      <c r="D55" s="89" t="s">
        <v>202</v>
      </c>
      <c r="E55" s="206">
        <v>0</v>
      </c>
      <c r="F55" s="206">
        <v>0</v>
      </c>
      <c r="G55" s="90">
        <f t="shared" ref="G55:G60" si="0">E55-F55</f>
        <v>0</v>
      </c>
      <c r="H55" s="91">
        <f t="shared" ref="H55:H60" si="1">IFERROR(G55/E55,0)</f>
        <v>0</v>
      </c>
      <c r="I55" s="86"/>
    </row>
    <row r="56" spans="1:11" ht="18" x14ac:dyDescent="0.25">
      <c r="A56" s="501"/>
      <c r="B56" s="92" t="s">
        <v>40</v>
      </c>
      <c r="C56" s="93"/>
      <c r="D56" s="94" t="s">
        <v>203</v>
      </c>
      <c r="E56" s="207">
        <v>0</v>
      </c>
      <c r="F56" s="207">
        <v>0</v>
      </c>
      <c r="G56" s="95">
        <f t="shared" si="0"/>
        <v>0</v>
      </c>
      <c r="H56" s="91">
        <f t="shared" si="1"/>
        <v>0</v>
      </c>
      <c r="I56" s="86"/>
    </row>
    <row r="57" spans="1:11" ht="18" x14ac:dyDescent="0.25">
      <c r="A57" s="501"/>
      <c r="B57" s="87" t="s">
        <v>41</v>
      </c>
      <c r="C57" s="88"/>
      <c r="D57" s="89" t="s">
        <v>204</v>
      </c>
      <c r="E57" s="206">
        <v>0</v>
      </c>
      <c r="F57" s="206">
        <v>0</v>
      </c>
      <c r="G57" s="90">
        <f t="shared" si="0"/>
        <v>0</v>
      </c>
      <c r="H57" s="91">
        <f t="shared" si="1"/>
        <v>0</v>
      </c>
      <c r="I57" s="86"/>
    </row>
    <row r="58" spans="1:11" ht="17.25" x14ac:dyDescent="0.25">
      <c r="A58" s="501"/>
      <c r="B58" s="87" t="s">
        <v>42</v>
      </c>
      <c r="C58" s="88"/>
      <c r="D58" s="89" t="s">
        <v>205</v>
      </c>
      <c r="E58" s="206">
        <v>0</v>
      </c>
      <c r="F58" s="206">
        <v>0</v>
      </c>
      <c r="G58" s="90">
        <f t="shared" si="0"/>
        <v>0</v>
      </c>
      <c r="H58" s="91">
        <f t="shared" si="1"/>
        <v>0</v>
      </c>
      <c r="I58" s="86"/>
    </row>
    <row r="59" spans="1:11" ht="18" x14ac:dyDescent="0.25">
      <c r="A59" s="501"/>
      <c r="B59" s="87" t="s">
        <v>43</v>
      </c>
      <c r="C59" s="88"/>
      <c r="D59" s="89" t="s">
        <v>206</v>
      </c>
      <c r="E59" s="206">
        <v>0</v>
      </c>
      <c r="F59" s="206">
        <v>0</v>
      </c>
      <c r="G59" s="90">
        <f t="shared" si="0"/>
        <v>0</v>
      </c>
      <c r="H59" s="91">
        <f t="shared" si="1"/>
        <v>0</v>
      </c>
      <c r="I59" s="86"/>
    </row>
    <row r="60" spans="1:11" ht="18" thickBot="1" x14ac:dyDescent="0.3">
      <c r="A60" s="501"/>
      <c r="B60" s="96" t="s">
        <v>207</v>
      </c>
      <c r="C60" s="97"/>
      <c r="D60" s="98" t="s">
        <v>44</v>
      </c>
      <c r="E60" s="208">
        <v>0</v>
      </c>
      <c r="F60" s="208">
        <v>0</v>
      </c>
      <c r="G60" s="99">
        <f t="shared" si="0"/>
        <v>0</v>
      </c>
      <c r="H60" s="91">
        <f t="shared" si="1"/>
        <v>0</v>
      </c>
      <c r="I60" s="86"/>
    </row>
    <row r="61" spans="1:11" ht="15.75" thickBot="1" x14ac:dyDescent="0.3">
      <c r="A61" s="501"/>
      <c r="B61" s="100"/>
      <c r="C61" s="72"/>
      <c r="D61" s="72"/>
      <c r="E61" s="45"/>
      <c r="F61" s="45"/>
      <c r="G61" s="61"/>
      <c r="H61" s="101"/>
      <c r="I61" s="86"/>
    </row>
    <row r="62" spans="1:11" ht="18.75" thickBot="1" x14ac:dyDescent="0.3">
      <c r="A62" s="501"/>
      <c r="B62" s="77" t="s">
        <v>46</v>
      </c>
      <c r="C62" s="78"/>
      <c r="D62" s="493" t="s">
        <v>260</v>
      </c>
      <c r="E62" s="494"/>
      <c r="F62" s="494"/>
      <c r="G62" s="495"/>
      <c r="H62" s="101"/>
      <c r="I62" s="86"/>
    </row>
    <row r="63" spans="1:11" ht="30.75" thickBot="1" x14ac:dyDescent="0.3">
      <c r="A63" s="501"/>
      <c r="B63" s="469" t="s">
        <v>32</v>
      </c>
      <c r="C63" s="470"/>
      <c r="D63" s="79" t="s">
        <v>33</v>
      </c>
      <c r="E63" s="79" t="s">
        <v>34</v>
      </c>
      <c r="F63" s="79" t="s">
        <v>35</v>
      </c>
      <c r="G63" s="79" t="s">
        <v>36</v>
      </c>
      <c r="H63" s="101"/>
      <c r="I63" s="86"/>
    </row>
    <row r="64" spans="1:11" x14ac:dyDescent="0.25">
      <c r="A64" s="501"/>
      <c r="B64" s="81" t="s">
        <v>37</v>
      </c>
      <c r="C64" s="82"/>
      <c r="D64" s="83" t="s">
        <v>38</v>
      </c>
      <c r="E64" s="205">
        <v>2.21</v>
      </c>
      <c r="F64" s="205">
        <v>0.03</v>
      </c>
      <c r="G64" s="84">
        <f>E64-F64</f>
        <v>2.1800000000000002</v>
      </c>
      <c r="H64" s="91">
        <f t="shared" ref="H64:H70" si="2">IFERROR(G64/E64,0)</f>
        <v>0.98642533936651589</v>
      </c>
      <c r="I64" s="102" t="str">
        <f>IFERROR(IF((G54/E54)-(G64/E64)&gt;0.0002,"Pozor snížena účinnost čištění",""),"")</f>
        <v/>
      </c>
      <c r="K64" s="103">
        <f t="shared" ref="K64:K70" si="3">H64-H54</f>
        <v>0.98642533936651589</v>
      </c>
    </row>
    <row r="65" spans="1:11" ht="18" x14ac:dyDescent="0.25">
      <c r="A65" s="501"/>
      <c r="B65" s="87" t="s">
        <v>39</v>
      </c>
      <c r="C65" s="88"/>
      <c r="D65" s="89" t="s">
        <v>202</v>
      </c>
      <c r="E65" s="206">
        <v>2.41</v>
      </c>
      <c r="F65" s="206">
        <v>0.03</v>
      </c>
      <c r="G65" s="90">
        <f t="shared" ref="G65:G70" si="4">E65-F65</f>
        <v>2.3800000000000003</v>
      </c>
      <c r="H65" s="91">
        <f t="shared" si="2"/>
        <v>0.98755186721991706</v>
      </c>
      <c r="I65" s="102" t="str">
        <f t="shared" ref="I65:I70" si="5">IFERROR(IF((G55/E55)-(G65/E65)&gt;0.0002,"Pozor snížena účinnost čištění",""),"")</f>
        <v/>
      </c>
      <c r="K65" s="103">
        <f t="shared" si="3"/>
        <v>0.98755186721991706</v>
      </c>
    </row>
    <row r="66" spans="1:11" ht="18" x14ac:dyDescent="0.25">
      <c r="A66" s="501"/>
      <c r="B66" s="92" t="s">
        <v>40</v>
      </c>
      <c r="C66" s="93"/>
      <c r="D66" s="94" t="s">
        <v>203</v>
      </c>
      <c r="E66" s="207">
        <v>4.82</v>
      </c>
      <c r="F66" s="207">
        <v>0.25</v>
      </c>
      <c r="G66" s="95">
        <f t="shared" si="4"/>
        <v>4.57</v>
      </c>
      <c r="H66" s="91">
        <f t="shared" si="2"/>
        <v>0.94813278008298751</v>
      </c>
      <c r="I66" s="102" t="str">
        <f t="shared" si="5"/>
        <v/>
      </c>
      <c r="K66" s="103">
        <f t="shared" si="3"/>
        <v>0.94813278008298751</v>
      </c>
    </row>
    <row r="67" spans="1:11" ht="18" x14ac:dyDescent="0.25">
      <c r="A67" s="501"/>
      <c r="B67" s="87" t="s">
        <v>41</v>
      </c>
      <c r="C67" s="88"/>
      <c r="D67" s="89" t="s">
        <v>204</v>
      </c>
      <c r="E67" s="206">
        <v>0</v>
      </c>
      <c r="F67" s="206">
        <v>0</v>
      </c>
      <c r="G67" s="90">
        <f t="shared" si="4"/>
        <v>0</v>
      </c>
      <c r="H67" s="91">
        <f t="shared" si="2"/>
        <v>0</v>
      </c>
      <c r="I67" s="102" t="str">
        <f t="shared" si="5"/>
        <v/>
      </c>
      <c r="K67" s="103">
        <f t="shared" si="3"/>
        <v>0</v>
      </c>
    </row>
    <row r="68" spans="1:11" ht="17.25" x14ac:dyDescent="0.25">
      <c r="A68" s="501"/>
      <c r="B68" s="87" t="s">
        <v>42</v>
      </c>
      <c r="C68" s="88"/>
      <c r="D68" s="89" t="s">
        <v>205</v>
      </c>
      <c r="E68" s="206">
        <v>0.28999999999999998</v>
      </c>
      <c r="F68" s="206">
        <v>1E-3</v>
      </c>
      <c r="G68" s="90">
        <f t="shared" si="4"/>
        <v>0.28899999999999998</v>
      </c>
      <c r="H68" s="91">
        <f t="shared" si="2"/>
        <v>0.99655172413793103</v>
      </c>
      <c r="I68" s="102" t="str">
        <f t="shared" si="5"/>
        <v/>
      </c>
      <c r="K68" s="103">
        <f t="shared" si="3"/>
        <v>0.99655172413793103</v>
      </c>
    </row>
    <row r="69" spans="1:11" ht="18" x14ac:dyDescent="0.25">
      <c r="A69" s="501"/>
      <c r="B69" s="87" t="s">
        <v>43</v>
      </c>
      <c r="C69" s="88"/>
      <c r="D69" s="89" t="s">
        <v>206</v>
      </c>
      <c r="E69" s="206">
        <v>0</v>
      </c>
      <c r="F69" s="206">
        <v>0</v>
      </c>
      <c r="G69" s="90">
        <f t="shared" si="4"/>
        <v>0</v>
      </c>
      <c r="H69" s="91">
        <f t="shared" si="2"/>
        <v>0</v>
      </c>
      <c r="I69" s="102" t="str">
        <f t="shared" si="5"/>
        <v/>
      </c>
      <c r="K69" s="103">
        <f t="shared" si="3"/>
        <v>0</v>
      </c>
    </row>
    <row r="70" spans="1:11" ht="18" thickBot="1" x14ac:dyDescent="0.3">
      <c r="A70" s="501"/>
      <c r="B70" s="96" t="s">
        <v>207</v>
      </c>
      <c r="C70" s="97"/>
      <c r="D70" s="98" t="s">
        <v>44</v>
      </c>
      <c r="E70" s="208">
        <v>0</v>
      </c>
      <c r="F70" s="208">
        <v>0</v>
      </c>
      <c r="G70" s="99">
        <f t="shared" si="4"/>
        <v>0</v>
      </c>
      <c r="H70" s="91">
        <f t="shared" si="2"/>
        <v>0</v>
      </c>
      <c r="I70" s="102" t="str">
        <f t="shared" si="5"/>
        <v/>
      </c>
      <c r="K70" s="103">
        <f t="shared" si="3"/>
        <v>0</v>
      </c>
    </row>
    <row r="71" spans="1:11" ht="15.75" thickBot="1" x14ac:dyDescent="0.3">
      <c r="A71" s="501"/>
      <c r="B71" s="73"/>
      <c r="C71" s="45"/>
      <c r="D71" s="45"/>
      <c r="E71" s="45"/>
      <c r="F71" s="45"/>
      <c r="G71" s="61"/>
      <c r="H71" s="45"/>
    </row>
    <row r="72" spans="1:11" ht="18.75" thickBot="1" x14ac:dyDescent="0.3">
      <c r="A72" s="501"/>
      <c r="B72" s="502" t="s">
        <v>47</v>
      </c>
      <c r="C72" s="503"/>
      <c r="D72" s="493" t="s">
        <v>260</v>
      </c>
      <c r="E72" s="494"/>
      <c r="F72" s="494"/>
      <c r="G72" s="495"/>
      <c r="H72" s="45"/>
    </row>
    <row r="73" spans="1:11" ht="30.75" thickBot="1" x14ac:dyDescent="0.3">
      <c r="A73" s="501"/>
      <c r="B73" s="469" t="s">
        <v>32</v>
      </c>
      <c r="C73" s="470"/>
      <c r="D73" s="79" t="s">
        <v>33</v>
      </c>
      <c r="E73" s="79" t="s">
        <v>49</v>
      </c>
      <c r="F73" s="79" t="s">
        <v>50</v>
      </c>
      <c r="G73" s="79" t="s">
        <v>48</v>
      </c>
      <c r="H73" s="45"/>
    </row>
    <row r="74" spans="1:11" x14ac:dyDescent="0.25">
      <c r="A74" s="501"/>
      <c r="B74" s="81" t="s">
        <v>37</v>
      </c>
      <c r="C74" s="82"/>
      <c r="D74" s="83" t="s">
        <v>38</v>
      </c>
      <c r="E74" s="292">
        <f>G54</f>
        <v>0</v>
      </c>
      <c r="F74" s="292">
        <f>G64</f>
        <v>2.1800000000000002</v>
      </c>
      <c r="G74" s="293">
        <f>F74-E74</f>
        <v>2.1800000000000002</v>
      </c>
      <c r="H74" s="45"/>
    </row>
    <row r="75" spans="1:11" ht="18" x14ac:dyDescent="0.25">
      <c r="A75" s="501"/>
      <c r="B75" s="87" t="s">
        <v>39</v>
      </c>
      <c r="C75" s="88"/>
      <c r="D75" s="89" t="s">
        <v>202</v>
      </c>
      <c r="E75" s="294">
        <f>G55</f>
        <v>0</v>
      </c>
      <c r="F75" s="294">
        <f>G65</f>
        <v>2.3800000000000003</v>
      </c>
      <c r="G75" s="295">
        <f>F75-E75</f>
        <v>2.3800000000000003</v>
      </c>
      <c r="H75" s="45"/>
    </row>
    <row r="76" spans="1:11" ht="18" x14ac:dyDescent="0.25">
      <c r="A76" s="501"/>
      <c r="B76" s="92" t="s">
        <v>40</v>
      </c>
      <c r="C76" s="93"/>
      <c r="D76" s="94" t="s">
        <v>203</v>
      </c>
      <c r="E76" s="294">
        <f t="shared" ref="E76:E80" si="6">G56</f>
        <v>0</v>
      </c>
      <c r="F76" s="294">
        <f t="shared" ref="F76:F80" si="7">G66</f>
        <v>4.57</v>
      </c>
      <c r="G76" s="295">
        <f t="shared" ref="G76:G80" si="8">F76-E76</f>
        <v>4.57</v>
      </c>
      <c r="H76" s="45"/>
    </row>
    <row r="77" spans="1:11" ht="18" x14ac:dyDescent="0.25">
      <c r="A77" s="501"/>
      <c r="B77" s="87" t="s">
        <v>41</v>
      </c>
      <c r="C77" s="88"/>
      <c r="D77" s="89" t="s">
        <v>204</v>
      </c>
      <c r="E77" s="294">
        <f t="shared" si="6"/>
        <v>0</v>
      </c>
      <c r="F77" s="294">
        <f t="shared" si="7"/>
        <v>0</v>
      </c>
      <c r="G77" s="295">
        <f t="shared" si="8"/>
        <v>0</v>
      </c>
      <c r="H77" s="45"/>
    </row>
    <row r="78" spans="1:11" ht="17.25" x14ac:dyDescent="0.25">
      <c r="A78" s="501"/>
      <c r="B78" s="87" t="s">
        <v>42</v>
      </c>
      <c r="C78" s="88"/>
      <c r="D78" s="89" t="s">
        <v>205</v>
      </c>
      <c r="E78" s="294">
        <f t="shared" si="6"/>
        <v>0</v>
      </c>
      <c r="F78" s="294">
        <f t="shared" si="7"/>
        <v>0.28899999999999998</v>
      </c>
      <c r="G78" s="295">
        <f t="shared" si="8"/>
        <v>0.28899999999999998</v>
      </c>
      <c r="H78" s="45"/>
    </row>
    <row r="79" spans="1:11" ht="18" x14ac:dyDescent="0.25">
      <c r="A79" s="501"/>
      <c r="B79" s="87" t="s">
        <v>43</v>
      </c>
      <c r="C79" s="88"/>
      <c r="D79" s="89" t="s">
        <v>206</v>
      </c>
      <c r="E79" s="294">
        <f t="shared" si="6"/>
        <v>0</v>
      </c>
      <c r="F79" s="294">
        <f t="shared" si="7"/>
        <v>0</v>
      </c>
      <c r="G79" s="295">
        <f t="shared" si="8"/>
        <v>0</v>
      </c>
      <c r="H79" s="45"/>
    </row>
    <row r="80" spans="1:11" ht="18" thickBot="1" x14ac:dyDescent="0.3">
      <c r="A80" s="501"/>
      <c r="B80" s="96" t="s">
        <v>207</v>
      </c>
      <c r="C80" s="97"/>
      <c r="D80" s="98" t="s">
        <v>44</v>
      </c>
      <c r="E80" s="296">
        <f t="shared" si="6"/>
        <v>0</v>
      </c>
      <c r="F80" s="296">
        <f t="shared" si="7"/>
        <v>0</v>
      </c>
      <c r="G80" s="297">
        <f t="shared" si="8"/>
        <v>0</v>
      </c>
      <c r="H80" s="45"/>
    </row>
    <row r="81" spans="1:8" x14ac:dyDescent="0.25">
      <c r="A81" s="501"/>
      <c r="B81" s="72" t="s">
        <v>147</v>
      </c>
      <c r="C81" s="45"/>
      <c r="D81" s="45"/>
      <c r="E81" s="45"/>
      <c r="F81" s="45"/>
      <c r="G81" s="45"/>
      <c r="H81" s="45"/>
    </row>
    <row r="82" spans="1:8" ht="15.75" thickBot="1" x14ac:dyDescent="0.3">
      <c r="A82" s="501"/>
      <c r="B82" s="45"/>
      <c r="C82" s="45"/>
      <c r="D82" s="45"/>
      <c r="E82" s="45"/>
      <c r="F82" s="45"/>
      <c r="G82" s="45"/>
    </row>
    <row r="83" spans="1:8" ht="16.5" thickBot="1" x14ac:dyDescent="0.3">
      <c r="A83" s="501"/>
      <c r="B83" s="446" t="s">
        <v>244</v>
      </c>
      <c r="C83" s="447"/>
      <c r="E83" s="45"/>
      <c r="F83" s="45"/>
      <c r="G83" s="45"/>
      <c r="H83" s="45"/>
    </row>
    <row r="84" spans="1:8" x14ac:dyDescent="0.25">
      <c r="A84" s="501"/>
      <c r="B84" s="484" t="s">
        <v>56</v>
      </c>
      <c r="C84" s="485"/>
      <c r="D84" s="209">
        <v>0</v>
      </c>
      <c r="E84" s="45" t="str">
        <f>IF(D84&gt;1,"Pozor jedná se o skupinový projekt!","")</f>
        <v/>
      </c>
      <c r="F84" s="45"/>
      <c r="G84" s="45"/>
      <c r="H84" s="45"/>
    </row>
    <row r="85" spans="1:8" x14ac:dyDescent="0.25">
      <c r="A85" s="501"/>
      <c r="B85" s="463" t="s">
        <v>52</v>
      </c>
      <c r="C85" s="476"/>
      <c r="D85" s="254">
        <v>0</v>
      </c>
      <c r="E85" s="45"/>
      <c r="F85" s="45"/>
      <c r="G85" s="45"/>
      <c r="H85" s="45"/>
    </row>
    <row r="86" spans="1:8" x14ac:dyDescent="0.25">
      <c r="A86" s="501"/>
      <c r="B86" s="463" t="s">
        <v>53</v>
      </c>
      <c r="C86" s="476"/>
      <c r="D86" s="254">
        <v>0</v>
      </c>
      <c r="E86" s="45"/>
      <c r="F86" s="45"/>
      <c r="G86" s="45"/>
      <c r="H86" s="45"/>
    </row>
    <row r="87" spans="1:8" ht="69" customHeight="1" x14ac:dyDescent="0.25">
      <c r="A87" s="501"/>
      <c r="B87" s="463" t="s">
        <v>200</v>
      </c>
      <c r="C87" s="476"/>
      <c r="D87" s="210">
        <v>0</v>
      </c>
      <c r="E87" s="45"/>
      <c r="F87" s="45"/>
      <c r="G87" s="45"/>
      <c r="H87" s="45"/>
    </row>
    <row r="88" spans="1:8" x14ac:dyDescent="0.25">
      <c r="A88" s="501"/>
      <c r="B88" s="463" t="s">
        <v>54</v>
      </c>
      <c r="C88" s="476"/>
      <c r="D88" s="254">
        <v>0</v>
      </c>
      <c r="E88" s="45"/>
      <c r="F88" s="45"/>
      <c r="G88" s="45"/>
      <c r="H88" s="45"/>
    </row>
    <row r="89" spans="1:8" x14ac:dyDescent="0.25">
      <c r="A89" s="501"/>
      <c r="B89" s="463" t="s">
        <v>51</v>
      </c>
      <c r="C89" s="476"/>
      <c r="D89" s="254">
        <v>0</v>
      </c>
      <c r="E89" s="45"/>
      <c r="F89" s="45"/>
      <c r="G89" s="45"/>
      <c r="H89" s="45"/>
    </row>
    <row r="90" spans="1:8" ht="15.75" thickBot="1" x14ac:dyDescent="0.3">
      <c r="A90" s="501"/>
      <c r="B90" s="465" t="s">
        <v>367</v>
      </c>
      <c r="C90" s="483"/>
      <c r="D90" s="255">
        <v>0</v>
      </c>
      <c r="E90" s="45"/>
      <c r="F90" s="45"/>
      <c r="G90" s="45"/>
      <c r="H90" s="45"/>
    </row>
    <row r="91" spans="1:8" ht="15.75" thickBot="1" x14ac:dyDescent="0.3">
      <c r="A91" s="501"/>
      <c r="B91" s="45"/>
      <c r="C91" s="45"/>
      <c r="D91" s="45"/>
      <c r="E91" s="45"/>
      <c r="F91" s="45"/>
      <c r="G91" s="45"/>
      <c r="H91" s="45"/>
    </row>
    <row r="92" spans="1:8" ht="16.5" thickBot="1" x14ac:dyDescent="0.3">
      <c r="A92" s="501"/>
      <c r="B92" s="446" t="s">
        <v>245</v>
      </c>
      <c r="C92" s="447"/>
      <c r="E92" s="45"/>
      <c r="F92" s="45"/>
      <c r="G92" s="45"/>
      <c r="H92" s="45"/>
    </row>
    <row r="93" spans="1:8" ht="15.75" thickBot="1" x14ac:dyDescent="0.3">
      <c r="A93" s="501"/>
      <c r="B93" s="448" t="s">
        <v>55</v>
      </c>
      <c r="C93" s="490"/>
      <c r="D93" s="211">
        <v>0</v>
      </c>
      <c r="E93" s="45" t="str">
        <f>IF(D93&gt;1,"Pozor jedná se o skupinový projekt!","")</f>
        <v/>
      </c>
      <c r="F93" s="45"/>
      <c r="G93" s="45"/>
      <c r="H93" s="45"/>
    </row>
    <row r="94" spans="1:8" x14ac:dyDescent="0.25">
      <c r="A94" s="501"/>
      <c r="B94" s="461" t="s">
        <v>57</v>
      </c>
      <c r="C94" s="486"/>
      <c r="D94" s="252">
        <v>0</v>
      </c>
      <c r="E94" s="45"/>
      <c r="F94" s="45"/>
      <c r="G94" s="45"/>
      <c r="H94" s="45"/>
    </row>
    <row r="95" spans="1:8" x14ac:dyDescent="0.25">
      <c r="A95" s="501"/>
      <c r="B95" s="463" t="s">
        <v>58</v>
      </c>
      <c r="C95" s="476"/>
      <c r="D95" s="253">
        <v>0</v>
      </c>
      <c r="E95" s="45"/>
      <c r="F95" s="45"/>
      <c r="G95" s="45"/>
      <c r="H95" s="45"/>
    </row>
    <row r="96" spans="1:8" ht="78.75" customHeight="1" thickBot="1" x14ac:dyDescent="0.3">
      <c r="A96" s="501"/>
      <c r="B96" s="465" t="s">
        <v>201</v>
      </c>
      <c r="C96" s="483"/>
      <c r="D96" s="214">
        <v>0</v>
      </c>
      <c r="E96" s="45"/>
      <c r="F96" s="45"/>
      <c r="G96" s="45"/>
      <c r="H96" s="45"/>
    </row>
    <row r="97" spans="1:8" x14ac:dyDescent="0.25">
      <c r="A97" s="501"/>
      <c r="B97" s="484" t="s">
        <v>59</v>
      </c>
      <c r="C97" s="485"/>
      <c r="D97" s="256">
        <v>0</v>
      </c>
      <c r="E97" s="45"/>
      <c r="F97" s="45"/>
      <c r="G97" s="45"/>
      <c r="H97" s="45"/>
    </row>
    <row r="98" spans="1:8" x14ac:dyDescent="0.25">
      <c r="A98" s="501"/>
      <c r="B98" s="463" t="s">
        <v>60</v>
      </c>
      <c r="C98" s="476"/>
      <c r="D98" s="253">
        <v>0</v>
      </c>
      <c r="E98" s="45"/>
      <c r="F98" s="45"/>
      <c r="G98" s="45"/>
      <c r="H98" s="45"/>
    </row>
    <row r="99" spans="1:8" ht="70.5" customHeight="1" thickBot="1" x14ac:dyDescent="0.3">
      <c r="A99" s="501"/>
      <c r="B99" s="465" t="s">
        <v>201</v>
      </c>
      <c r="C99" s="483"/>
      <c r="D99" s="214">
        <v>0</v>
      </c>
      <c r="E99" s="45"/>
      <c r="F99" s="45"/>
      <c r="G99" s="45"/>
      <c r="H99" s="45"/>
    </row>
    <row r="100" spans="1:8" x14ac:dyDescent="0.25">
      <c r="A100" s="501"/>
      <c r="B100" s="484" t="s">
        <v>61</v>
      </c>
      <c r="C100" s="485"/>
      <c r="D100" s="256">
        <v>0</v>
      </c>
      <c r="E100" s="45"/>
      <c r="F100" s="45"/>
      <c r="G100" s="45"/>
      <c r="H100" s="45"/>
    </row>
    <row r="101" spans="1:8" ht="15.75" thickBot="1" x14ac:dyDescent="0.3">
      <c r="A101" s="501"/>
      <c r="B101" s="465" t="s">
        <v>54</v>
      </c>
      <c r="C101" s="483"/>
      <c r="D101" s="257">
        <v>0</v>
      </c>
      <c r="E101" s="45"/>
      <c r="F101" s="45"/>
      <c r="G101" s="45"/>
      <c r="H101" s="45"/>
    </row>
    <row r="102" spans="1:8" x14ac:dyDescent="0.25">
      <c r="A102" s="501"/>
      <c r="B102" s="461" t="s">
        <v>219</v>
      </c>
      <c r="C102" s="486"/>
      <c r="D102" s="252">
        <v>0</v>
      </c>
      <c r="E102" s="45"/>
      <c r="F102" s="45"/>
      <c r="G102" s="45"/>
      <c r="H102" s="45"/>
    </row>
    <row r="103" spans="1:8" ht="15.75" thickBot="1" x14ac:dyDescent="0.3">
      <c r="A103" s="501"/>
      <c r="B103" s="459" t="s">
        <v>218</v>
      </c>
      <c r="C103" s="460"/>
      <c r="D103" s="258">
        <v>0</v>
      </c>
      <c r="E103" s="45"/>
      <c r="F103" s="45"/>
      <c r="G103" s="45"/>
      <c r="H103" s="45"/>
    </row>
    <row r="104" spans="1:8" ht="16.5" thickBot="1" x14ac:dyDescent="0.3">
      <c r="A104" s="501"/>
      <c r="B104" s="104" t="s">
        <v>236</v>
      </c>
      <c r="C104" s="105"/>
      <c r="D104" s="105"/>
      <c r="E104" s="105"/>
      <c r="F104" s="105"/>
      <c r="G104" s="106"/>
      <c r="H104" s="45"/>
    </row>
    <row r="105" spans="1:8" ht="21" customHeight="1" x14ac:dyDescent="0.25">
      <c r="A105" s="501"/>
      <c r="B105" s="504"/>
      <c r="C105" s="504"/>
      <c r="D105" s="504"/>
      <c r="E105" s="504"/>
      <c r="F105" s="504"/>
      <c r="G105" s="45"/>
      <c r="H105" s="45"/>
    </row>
    <row r="106" spans="1:8" ht="21" customHeight="1" x14ac:dyDescent="0.25">
      <c r="A106" s="501"/>
      <c r="B106" s="504" t="str">
        <f>IF(AND('zdroj#1'!S45&gt;1,'Projekt#1'!C42+'Projekt#1'!C43=0),"Pozor, vybrány body za kvalitu řešení rek/int ČOV při nulých nákladech v řádcích 42 a 43","")</f>
        <v/>
      </c>
      <c r="C106" s="504"/>
      <c r="D106" s="504"/>
      <c r="E106" s="107"/>
      <c r="F106" s="107"/>
      <c r="G106" s="45"/>
      <c r="H106" s="45"/>
    </row>
    <row r="107" spans="1:8" ht="15.75" thickBot="1" x14ac:dyDescent="0.3">
      <c r="A107" s="501"/>
      <c r="B107" s="108"/>
      <c r="C107" s="108"/>
      <c r="D107" s="45"/>
      <c r="E107" s="45"/>
      <c r="F107" s="45"/>
      <c r="G107" s="45"/>
      <c r="H107" s="45"/>
    </row>
    <row r="108" spans="1:8" ht="16.5" thickBot="1" x14ac:dyDescent="0.3">
      <c r="A108" s="501"/>
      <c r="B108" s="446" t="s">
        <v>246</v>
      </c>
      <c r="C108" s="452"/>
      <c r="D108" s="452"/>
      <c r="E108" s="447"/>
      <c r="F108" s="446" t="s">
        <v>233</v>
      </c>
      <c r="G108" s="447"/>
      <c r="H108" s="45"/>
    </row>
    <row r="109" spans="1:8" ht="30.75" customHeight="1" thickBot="1" x14ac:dyDescent="0.3">
      <c r="A109" s="501"/>
      <c r="B109" s="109" t="s">
        <v>70</v>
      </c>
      <c r="C109" s="110" t="s">
        <v>72</v>
      </c>
      <c r="D109" s="111" t="s">
        <v>74</v>
      </c>
      <c r="E109" s="111" t="s">
        <v>75</v>
      </c>
      <c r="F109" s="450" t="s">
        <v>234</v>
      </c>
      <c r="G109" s="451"/>
      <c r="H109" s="45"/>
    </row>
    <row r="110" spans="1:8" ht="18" customHeight="1" x14ac:dyDescent="0.25">
      <c r="A110" s="501"/>
      <c r="B110" s="217"/>
      <c r="C110" s="259"/>
      <c r="D110" s="218"/>
      <c r="E110" s="219"/>
      <c r="F110" s="477"/>
      <c r="G110" s="478"/>
      <c r="H110" s="45"/>
    </row>
    <row r="111" spans="1:8" ht="18" customHeight="1" x14ac:dyDescent="0.25">
      <c r="A111" s="501"/>
      <c r="B111" s="220"/>
      <c r="C111" s="260"/>
      <c r="D111" s="221"/>
      <c r="E111" s="222"/>
      <c r="F111" s="479"/>
      <c r="G111" s="480"/>
      <c r="H111" s="45"/>
    </row>
    <row r="112" spans="1:8" ht="18" customHeight="1" x14ac:dyDescent="0.25">
      <c r="A112" s="501"/>
      <c r="B112" s="220"/>
      <c r="C112" s="260"/>
      <c r="D112" s="221"/>
      <c r="E112" s="222"/>
      <c r="F112" s="479"/>
      <c r="G112" s="480"/>
      <c r="H112" s="45"/>
    </row>
    <row r="113" spans="1:10" ht="15" customHeight="1" x14ac:dyDescent="0.25">
      <c r="A113" s="501"/>
      <c r="B113" s="223"/>
      <c r="C113" s="261"/>
      <c r="D113" s="224"/>
      <c r="E113" s="225"/>
      <c r="F113" s="479"/>
      <c r="G113" s="480"/>
      <c r="H113" s="45"/>
    </row>
    <row r="114" spans="1:10" ht="15.75" thickBot="1" x14ac:dyDescent="0.3">
      <c r="A114" s="501"/>
      <c r="B114" s="226"/>
      <c r="C114" s="262"/>
      <c r="D114" s="227"/>
      <c r="E114" s="228"/>
      <c r="F114" s="481"/>
      <c r="G114" s="482"/>
      <c r="H114" s="45"/>
    </row>
    <row r="115" spans="1:10" s="45" customFormat="1" ht="9" customHeight="1" thickBot="1" x14ac:dyDescent="0.3">
      <c r="A115" s="501"/>
      <c r="B115" s="73"/>
      <c r="E115" s="291"/>
      <c r="G115" s="61"/>
      <c r="J115" s="290"/>
    </row>
    <row r="116" spans="1:10" ht="30" customHeight="1" thickBot="1" x14ac:dyDescent="0.3">
      <c r="A116" s="501"/>
      <c r="B116" s="109" t="s">
        <v>71</v>
      </c>
      <c r="C116" s="110" t="s">
        <v>72</v>
      </c>
      <c r="D116" s="111" t="s">
        <v>74</v>
      </c>
      <c r="E116" s="111" t="s">
        <v>75</v>
      </c>
      <c r="F116" s="450" t="s">
        <v>234</v>
      </c>
      <c r="G116" s="451"/>
      <c r="H116" s="45"/>
    </row>
    <row r="117" spans="1:10" x14ac:dyDescent="0.25">
      <c r="A117" s="501"/>
      <c r="B117" s="217"/>
      <c r="C117" s="259"/>
      <c r="D117" s="218"/>
      <c r="E117" s="215"/>
      <c r="F117" s="477"/>
      <c r="G117" s="478"/>
      <c r="H117" s="45"/>
    </row>
    <row r="118" spans="1:10" x14ac:dyDescent="0.25">
      <c r="A118" s="501"/>
      <c r="B118" s="220"/>
      <c r="C118" s="260"/>
      <c r="D118" s="221"/>
      <c r="E118" s="212"/>
      <c r="F118" s="479"/>
      <c r="G118" s="480"/>
      <c r="H118" s="45"/>
    </row>
    <row r="119" spans="1:10" x14ac:dyDescent="0.25">
      <c r="A119" s="501"/>
      <c r="B119" s="220"/>
      <c r="C119" s="260"/>
      <c r="D119" s="221"/>
      <c r="E119" s="212"/>
      <c r="F119" s="479"/>
      <c r="G119" s="480"/>
      <c r="H119" s="45"/>
    </row>
    <row r="120" spans="1:10" x14ac:dyDescent="0.25">
      <c r="A120" s="501"/>
      <c r="B120" s="223"/>
      <c r="C120" s="261"/>
      <c r="D120" s="224"/>
      <c r="E120" s="213"/>
      <c r="F120" s="479"/>
      <c r="G120" s="480"/>
      <c r="H120" s="45"/>
    </row>
    <row r="121" spans="1:10" ht="15.75" thickBot="1" x14ac:dyDescent="0.3">
      <c r="A121" s="501"/>
      <c r="B121" s="226"/>
      <c r="C121" s="262"/>
      <c r="D121" s="227"/>
      <c r="E121" s="216"/>
      <c r="F121" s="481"/>
      <c r="G121" s="482"/>
      <c r="H121" s="45"/>
    </row>
    <row r="122" spans="1:10" s="45" customFormat="1" ht="9" customHeight="1" thickBot="1" x14ac:dyDescent="0.3">
      <c r="A122" s="501"/>
      <c r="B122" s="73"/>
      <c r="E122" s="291"/>
      <c r="G122" s="61"/>
      <c r="J122" s="290"/>
    </row>
    <row r="123" spans="1:10" ht="31.5" customHeight="1" thickBot="1" x14ac:dyDescent="0.3">
      <c r="A123" s="501"/>
      <c r="B123" s="109" t="s">
        <v>435</v>
      </c>
      <c r="C123" s="110" t="s">
        <v>72</v>
      </c>
      <c r="D123" s="111" t="s">
        <v>74</v>
      </c>
      <c r="E123" s="111" t="s">
        <v>75</v>
      </c>
      <c r="F123" s="450" t="s">
        <v>234</v>
      </c>
      <c r="G123" s="451"/>
      <c r="H123" s="45"/>
    </row>
    <row r="124" spans="1:10" x14ac:dyDescent="0.25">
      <c r="A124" s="501"/>
      <c r="B124" s="217"/>
      <c r="C124" s="259"/>
      <c r="D124" s="218"/>
      <c r="E124" s="215"/>
      <c r="F124" s="477"/>
      <c r="G124" s="478"/>
      <c r="H124" s="45"/>
    </row>
    <row r="125" spans="1:10" x14ac:dyDescent="0.25">
      <c r="A125" s="501"/>
      <c r="B125" s="220"/>
      <c r="C125" s="260"/>
      <c r="D125" s="221"/>
      <c r="E125" s="212"/>
      <c r="F125" s="479"/>
      <c r="G125" s="480"/>
      <c r="H125" s="45"/>
    </row>
    <row r="126" spans="1:10" x14ac:dyDescent="0.25">
      <c r="A126" s="501"/>
      <c r="B126" s="220"/>
      <c r="C126" s="260"/>
      <c r="D126" s="221"/>
      <c r="E126" s="212"/>
      <c r="F126" s="479"/>
      <c r="G126" s="480"/>
      <c r="H126" s="45"/>
    </row>
    <row r="127" spans="1:10" x14ac:dyDescent="0.25">
      <c r="A127" s="501"/>
      <c r="B127" s="223"/>
      <c r="C127" s="261"/>
      <c r="D127" s="224"/>
      <c r="E127" s="213"/>
      <c r="F127" s="479"/>
      <c r="G127" s="480"/>
      <c r="H127" s="45"/>
    </row>
    <row r="128" spans="1:10" ht="15.75" thickBot="1" x14ac:dyDescent="0.3">
      <c r="A128" s="501"/>
      <c r="B128" s="226"/>
      <c r="C128" s="262"/>
      <c r="D128" s="227"/>
      <c r="E128" s="216"/>
      <c r="F128" s="481"/>
      <c r="G128" s="482"/>
      <c r="H128" s="45"/>
    </row>
    <row r="129" spans="1:10" s="45" customFormat="1" ht="9.75" customHeight="1" thickBot="1" x14ac:dyDescent="0.3">
      <c r="A129" s="501"/>
      <c r="B129" s="73"/>
      <c r="E129" s="291"/>
      <c r="G129" s="61"/>
      <c r="J129" s="290"/>
    </row>
    <row r="130" spans="1:10" ht="33" customHeight="1" thickBot="1" x14ac:dyDescent="0.3">
      <c r="A130" s="501"/>
      <c r="B130" s="109" t="s">
        <v>73</v>
      </c>
      <c r="C130" s="110" t="s">
        <v>72</v>
      </c>
      <c r="D130" s="111" t="s">
        <v>74</v>
      </c>
      <c r="E130" s="111" t="s">
        <v>75</v>
      </c>
      <c r="F130" s="450" t="s">
        <v>234</v>
      </c>
      <c r="G130" s="451"/>
      <c r="H130" s="45"/>
    </row>
    <row r="131" spans="1:10" x14ac:dyDescent="0.25">
      <c r="A131" s="501"/>
      <c r="B131" s="217" t="s">
        <v>452</v>
      </c>
      <c r="C131" s="259">
        <v>72</v>
      </c>
      <c r="D131" s="218">
        <v>1</v>
      </c>
      <c r="E131" s="215">
        <v>0</v>
      </c>
      <c r="F131" s="477"/>
      <c r="G131" s="478"/>
      <c r="H131" s="45"/>
    </row>
    <row r="132" spans="1:10" x14ac:dyDescent="0.25">
      <c r="A132" s="501"/>
      <c r="B132" s="220"/>
      <c r="C132" s="260"/>
      <c r="D132" s="221"/>
      <c r="E132" s="212"/>
      <c r="F132" s="479"/>
      <c r="G132" s="480"/>
      <c r="H132" s="45"/>
    </row>
    <row r="133" spans="1:10" x14ac:dyDescent="0.25">
      <c r="A133" s="501"/>
      <c r="B133" s="220"/>
      <c r="C133" s="260"/>
      <c r="D133" s="221"/>
      <c r="E133" s="212"/>
      <c r="F133" s="479"/>
      <c r="G133" s="480"/>
      <c r="H133" s="45"/>
    </row>
    <row r="134" spans="1:10" x14ac:dyDescent="0.25">
      <c r="A134" s="501"/>
      <c r="B134" s="223"/>
      <c r="C134" s="261"/>
      <c r="D134" s="224"/>
      <c r="E134" s="213"/>
      <c r="F134" s="479"/>
      <c r="G134" s="480"/>
      <c r="H134" s="45"/>
    </row>
    <row r="135" spans="1:10" ht="15.75" thickBot="1" x14ac:dyDescent="0.3">
      <c r="A135" s="501"/>
      <c r="B135" s="226"/>
      <c r="C135" s="262"/>
      <c r="D135" s="227"/>
      <c r="E135" s="216"/>
      <c r="F135" s="481"/>
      <c r="G135" s="482"/>
      <c r="H135" s="45"/>
    </row>
    <row r="136" spans="1:10" ht="15.75" thickBot="1" x14ac:dyDescent="0.3">
      <c r="A136" s="501"/>
      <c r="B136" s="45"/>
      <c r="C136" s="45"/>
      <c r="D136" s="45"/>
      <c r="E136" s="45"/>
      <c r="F136" s="45"/>
      <c r="G136" s="45"/>
      <c r="H136" s="45"/>
    </row>
    <row r="137" spans="1:10" ht="16.5" thickBot="1" x14ac:dyDescent="0.3">
      <c r="A137" s="501"/>
      <c r="B137" s="446" t="s">
        <v>247</v>
      </c>
      <c r="C137" s="452"/>
      <c r="D137" s="452"/>
      <c r="E137" s="447"/>
      <c r="F137" s="45"/>
      <c r="G137" s="45"/>
      <c r="H137" s="45"/>
    </row>
    <row r="138" spans="1:10" ht="15.75" thickBot="1" x14ac:dyDescent="0.3">
      <c r="A138" s="501"/>
      <c r="B138" s="448" t="s">
        <v>436</v>
      </c>
      <c r="C138" s="449"/>
      <c r="D138" s="298">
        <f>D141+D142+D143</f>
        <v>3906</v>
      </c>
      <c r="E138" s="58"/>
      <c r="F138" s="45"/>
      <c r="G138" s="45"/>
      <c r="H138" s="45"/>
    </row>
    <row r="139" spans="1:10" ht="15.75" thickBot="1" x14ac:dyDescent="0.3">
      <c r="A139" s="501"/>
      <c r="B139" s="453" t="s">
        <v>437</v>
      </c>
      <c r="C139" s="454"/>
      <c r="D139" s="299">
        <f>D142+D143</f>
        <v>1003</v>
      </c>
      <c r="E139" s="61"/>
      <c r="F139" s="45"/>
      <c r="G139" s="45"/>
      <c r="H139" s="45"/>
    </row>
    <row r="140" spans="1:10" ht="15.75" thickBot="1" x14ac:dyDescent="0.3">
      <c r="A140" s="501"/>
      <c r="B140" s="453" t="s">
        <v>338</v>
      </c>
      <c r="C140" s="454"/>
      <c r="D140" s="299">
        <f>D142+D141</f>
        <v>3707</v>
      </c>
      <c r="E140" s="61"/>
      <c r="F140" s="45"/>
      <c r="G140" s="45"/>
      <c r="H140" s="45"/>
    </row>
    <row r="141" spans="1:10" x14ac:dyDescent="0.25">
      <c r="A141" s="501"/>
      <c r="B141" s="461" t="s">
        <v>261</v>
      </c>
      <c r="C141" s="462"/>
      <c r="D141" s="229">
        <v>2903</v>
      </c>
      <c r="E141" s="61"/>
      <c r="F141" s="45"/>
      <c r="G141" s="45"/>
      <c r="H141" s="45"/>
    </row>
    <row r="142" spans="1:10" x14ac:dyDescent="0.25">
      <c r="A142" s="501"/>
      <c r="B142" s="463" t="s">
        <v>209</v>
      </c>
      <c r="C142" s="464"/>
      <c r="D142" s="300">
        <f>D145+D144+D146+D147</f>
        <v>804</v>
      </c>
      <c r="E142" s="61"/>
      <c r="F142" s="45"/>
      <c r="G142" s="45"/>
      <c r="H142" s="45"/>
    </row>
    <row r="143" spans="1:10" ht="15.75" thickBot="1" x14ac:dyDescent="0.3">
      <c r="A143" s="501"/>
      <c r="B143" s="465" t="s">
        <v>65</v>
      </c>
      <c r="C143" s="466"/>
      <c r="D143" s="301">
        <f>D148+D149+D150</f>
        <v>199</v>
      </c>
      <c r="E143" s="61"/>
      <c r="F143" s="45"/>
      <c r="G143" s="45"/>
      <c r="H143" s="45"/>
    </row>
    <row r="144" spans="1:10" x14ac:dyDescent="0.25">
      <c r="A144" s="501"/>
      <c r="B144" s="467" t="s">
        <v>269</v>
      </c>
      <c r="C144" s="468"/>
      <c r="D144" s="230">
        <f>852-48</f>
        <v>804</v>
      </c>
      <c r="E144" s="61"/>
      <c r="F144" s="45"/>
      <c r="G144" s="45"/>
      <c r="H144" s="45"/>
    </row>
    <row r="145" spans="1:8" x14ac:dyDescent="0.25">
      <c r="A145" s="501"/>
      <c r="B145" s="436" t="s">
        <v>287</v>
      </c>
      <c r="C145" s="437"/>
      <c r="D145" s="231">
        <v>0</v>
      </c>
      <c r="E145" s="61"/>
      <c r="F145" s="45"/>
      <c r="G145" s="45"/>
      <c r="H145" s="45"/>
    </row>
    <row r="146" spans="1:8" x14ac:dyDescent="0.25">
      <c r="A146" s="501"/>
      <c r="B146" s="436" t="s">
        <v>270</v>
      </c>
      <c r="C146" s="437"/>
      <c r="D146" s="231">
        <v>0</v>
      </c>
      <c r="E146" s="61"/>
      <c r="F146" s="45"/>
      <c r="G146" s="45"/>
      <c r="H146" s="45"/>
    </row>
    <row r="147" spans="1:8" ht="15.75" thickBot="1" x14ac:dyDescent="0.3">
      <c r="A147" s="501"/>
      <c r="B147" s="472" t="s">
        <v>271</v>
      </c>
      <c r="C147" s="473"/>
      <c r="D147" s="232">
        <v>0</v>
      </c>
      <c r="E147" s="61"/>
      <c r="F147" s="45"/>
      <c r="G147" s="45"/>
      <c r="H147" s="45"/>
    </row>
    <row r="148" spans="1:8" x14ac:dyDescent="0.25">
      <c r="A148" s="501"/>
      <c r="B148" s="467" t="s">
        <v>62</v>
      </c>
      <c r="C148" s="468"/>
      <c r="D148" s="230">
        <f>211-12</f>
        <v>199</v>
      </c>
      <c r="E148" s="61"/>
      <c r="F148" s="45"/>
      <c r="G148" s="45"/>
      <c r="H148" s="45"/>
    </row>
    <row r="149" spans="1:8" x14ac:dyDescent="0.25">
      <c r="A149" s="501"/>
      <c r="B149" s="436" t="s">
        <v>63</v>
      </c>
      <c r="C149" s="437"/>
      <c r="D149" s="231">
        <v>0</v>
      </c>
      <c r="E149" s="61"/>
      <c r="F149" s="45"/>
      <c r="G149" s="45"/>
      <c r="H149" s="45"/>
    </row>
    <row r="150" spans="1:8" ht="15.75" thickBot="1" x14ac:dyDescent="0.3">
      <c r="A150" s="501"/>
      <c r="B150" s="472" t="s">
        <v>64</v>
      </c>
      <c r="C150" s="473"/>
      <c r="D150" s="232">
        <v>0</v>
      </c>
      <c r="E150" s="61"/>
      <c r="F150" s="45"/>
      <c r="G150" s="45"/>
      <c r="H150" s="45"/>
    </row>
    <row r="151" spans="1:8" ht="15.75" thickBot="1" x14ac:dyDescent="0.3">
      <c r="A151" s="501"/>
      <c r="B151" s="474" t="s">
        <v>181</v>
      </c>
      <c r="C151" s="475"/>
      <c r="D151" s="233">
        <v>110</v>
      </c>
      <c r="E151" s="61"/>
      <c r="F151" s="45"/>
      <c r="G151" s="45"/>
      <c r="H151" s="45"/>
    </row>
    <row r="152" spans="1:8" ht="15.75" thickBot="1" x14ac:dyDescent="0.3">
      <c r="A152" s="501"/>
      <c r="B152" s="448" t="s">
        <v>146</v>
      </c>
      <c r="C152" s="449"/>
      <c r="D152" s="234">
        <v>110</v>
      </c>
      <c r="E152" s="61"/>
      <c r="F152" s="45"/>
      <c r="G152" s="45"/>
      <c r="H152" s="45"/>
    </row>
    <row r="153" spans="1:8" ht="26.25" customHeight="1" x14ac:dyDescent="0.25">
      <c r="A153" s="501"/>
      <c r="B153" s="456" t="s">
        <v>262</v>
      </c>
      <c r="C153" s="457"/>
      <c r="D153" s="457"/>
      <c r="E153" s="458"/>
      <c r="F153" s="53"/>
      <c r="G153" s="53"/>
      <c r="H153" s="45"/>
    </row>
    <row r="154" spans="1:8" ht="15" customHeight="1" x14ac:dyDescent="0.25">
      <c r="A154" s="501"/>
      <c r="B154" s="456" t="s">
        <v>145</v>
      </c>
      <c r="C154" s="457"/>
      <c r="D154" s="457"/>
      <c r="E154" s="458"/>
      <c r="F154" s="53"/>
      <c r="G154" s="53"/>
      <c r="H154" s="45"/>
    </row>
    <row r="155" spans="1:8" x14ac:dyDescent="0.25">
      <c r="A155" s="501"/>
      <c r="B155" s="456"/>
      <c r="C155" s="457"/>
      <c r="D155" s="457"/>
      <c r="E155" s="458"/>
      <c r="F155" s="53"/>
      <c r="G155" s="53"/>
      <c r="H155" s="45"/>
    </row>
    <row r="156" spans="1:8" ht="15.75" thickBot="1" x14ac:dyDescent="0.3">
      <c r="A156" s="501"/>
      <c r="B156" s="115"/>
      <c r="C156" s="116"/>
      <c r="D156" s="116"/>
      <c r="E156" s="61"/>
      <c r="F156" s="45"/>
      <c r="G156" s="45"/>
      <c r="H156" s="45"/>
    </row>
    <row r="157" spans="1:8" ht="16.5" thickBot="1" x14ac:dyDescent="0.3">
      <c r="A157" s="501"/>
      <c r="B157" s="117" t="s">
        <v>67</v>
      </c>
      <c r="C157" s="118" t="s">
        <v>68</v>
      </c>
      <c r="D157" s="119" t="s">
        <v>66</v>
      </c>
      <c r="E157" s="120"/>
      <c r="F157" s="45"/>
      <c r="G157" s="45"/>
      <c r="H157" s="45"/>
    </row>
    <row r="158" spans="1:8" x14ac:dyDescent="0.25">
      <c r="A158" s="501"/>
      <c r="B158" s="121" t="s">
        <v>62</v>
      </c>
      <c r="C158" s="235">
        <v>211</v>
      </c>
      <c r="D158" s="302">
        <f>D148</f>
        <v>199</v>
      </c>
      <c r="E158" s="61"/>
      <c r="F158" s="45"/>
      <c r="G158" s="45"/>
      <c r="H158" s="45"/>
    </row>
    <row r="159" spans="1:8" x14ac:dyDescent="0.25">
      <c r="A159" s="501"/>
      <c r="B159" s="122" t="s">
        <v>63</v>
      </c>
      <c r="C159" s="236">
        <v>0</v>
      </c>
      <c r="D159" s="303">
        <f>D149</f>
        <v>0</v>
      </c>
      <c r="E159" s="61"/>
      <c r="F159" s="45"/>
      <c r="G159" s="45"/>
      <c r="H159" s="45"/>
    </row>
    <row r="160" spans="1:8" ht="15.75" thickBot="1" x14ac:dyDescent="0.3">
      <c r="A160" s="501"/>
      <c r="B160" s="123" t="s">
        <v>64</v>
      </c>
      <c r="C160" s="237">
        <v>0</v>
      </c>
      <c r="D160" s="304">
        <f>D150</f>
        <v>0</v>
      </c>
      <c r="E160" s="61"/>
      <c r="F160" s="45"/>
      <c r="G160" s="45"/>
      <c r="H160" s="45"/>
    </row>
    <row r="161" spans="1:8" ht="15.75" thickBot="1" x14ac:dyDescent="0.3">
      <c r="A161" s="501"/>
      <c r="B161" s="73"/>
      <c r="C161" s="45"/>
      <c r="D161" s="45"/>
      <c r="E161" s="61"/>
      <c r="F161" s="45"/>
      <c r="G161" s="45"/>
      <c r="H161" s="45"/>
    </row>
    <row r="162" spans="1:8" ht="16.5" thickBot="1" x14ac:dyDescent="0.3">
      <c r="A162" s="501"/>
      <c r="B162" s="124" t="s">
        <v>289</v>
      </c>
      <c r="C162" s="118" t="s">
        <v>68</v>
      </c>
      <c r="D162" s="119" t="s">
        <v>66</v>
      </c>
      <c r="E162" s="61"/>
      <c r="F162" s="45"/>
      <c r="G162" s="45"/>
      <c r="H162" s="45"/>
    </row>
    <row r="163" spans="1:8" x14ac:dyDescent="0.25">
      <c r="A163" s="501"/>
      <c r="B163" s="238" t="s">
        <v>453</v>
      </c>
      <c r="C163" s="230">
        <v>392</v>
      </c>
      <c r="D163" s="239">
        <v>392</v>
      </c>
      <c r="E163" s="61"/>
      <c r="F163" s="45"/>
      <c r="G163" s="45"/>
      <c r="H163" s="45"/>
    </row>
    <row r="164" spans="1:8" x14ac:dyDescent="0.25">
      <c r="A164" s="501"/>
      <c r="B164" s="240" t="s">
        <v>454</v>
      </c>
      <c r="C164" s="231">
        <v>86</v>
      </c>
      <c r="D164" s="241">
        <v>86</v>
      </c>
      <c r="E164" s="61"/>
      <c r="F164" s="45"/>
      <c r="G164" s="45"/>
      <c r="H164" s="45"/>
    </row>
    <row r="165" spans="1:8" x14ac:dyDescent="0.25">
      <c r="A165" s="501"/>
      <c r="B165" s="240" t="s">
        <v>455</v>
      </c>
      <c r="C165" s="231">
        <v>193</v>
      </c>
      <c r="D165" s="241">
        <f>193-35</f>
        <v>158</v>
      </c>
      <c r="E165" s="61"/>
      <c r="F165" s="45"/>
      <c r="G165" s="45"/>
      <c r="H165" s="45"/>
    </row>
    <row r="166" spans="1:8" x14ac:dyDescent="0.25">
      <c r="A166" s="501"/>
      <c r="B166" s="240" t="s">
        <v>456</v>
      </c>
      <c r="C166" s="231">
        <v>170</v>
      </c>
      <c r="D166" s="241">
        <v>168</v>
      </c>
      <c r="E166" s="61"/>
      <c r="F166" s="45"/>
      <c r="G166" s="45"/>
      <c r="H166" s="45"/>
    </row>
    <row r="167" spans="1:8" x14ac:dyDescent="0.25">
      <c r="A167" s="501"/>
      <c r="B167" s="240" t="s">
        <v>457</v>
      </c>
      <c r="C167" s="231">
        <v>29</v>
      </c>
      <c r="D167" s="241">
        <v>0</v>
      </c>
      <c r="E167" s="61"/>
      <c r="F167" s="45"/>
      <c r="G167" s="45"/>
      <c r="H167" s="45"/>
    </row>
    <row r="168" spans="1:8" x14ac:dyDescent="0.25">
      <c r="A168" s="501"/>
      <c r="B168" s="240" t="s">
        <v>459</v>
      </c>
      <c r="C168" s="231">
        <v>73</v>
      </c>
      <c r="D168" s="241">
        <v>73</v>
      </c>
      <c r="E168" s="61"/>
      <c r="F168" s="45"/>
      <c r="G168" s="45"/>
      <c r="H168" s="45"/>
    </row>
    <row r="169" spans="1:8" x14ac:dyDescent="0.25">
      <c r="A169" s="501"/>
      <c r="B169" s="240" t="s">
        <v>458</v>
      </c>
      <c r="C169" s="231">
        <v>2830</v>
      </c>
      <c r="D169" s="241">
        <v>2830</v>
      </c>
      <c r="E169" s="61"/>
      <c r="F169" s="45"/>
      <c r="G169" s="45"/>
      <c r="H169" s="45"/>
    </row>
    <row r="170" spans="1:8" x14ac:dyDescent="0.25">
      <c r="A170" s="501"/>
      <c r="B170" s="240"/>
      <c r="C170" s="231">
        <v>0</v>
      </c>
      <c r="D170" s="241">
        <v>0</v>
      </c>
      <c r="E170" s="61"/>
      <c r="F170" s="45"/>
      <c r="G170" s="45"/>
      <c r="H170" s="45"/>
    </row>
    <row r="171" spans="1:8" x14ac:dyDescent="0.25">
      <c r="A171" s="501"/>
      <c r="B171" s="240"/>
      <c r="C171" s="231">
        <v>0</v>
      </c>
      <c r="D171" s="241">
        <v>0</v>
      </c>
      <c r="E171" s="61"/>
      <c r="F171" s="45"/>
      <c r="G171" s="45"/>
      <c r="H171" s="45"/>
    </row>
    <row r="172" spans="1:8" x14ac:dyDescent="0.25">
      <c r="A172" s="501"/>
      <c r="B172" s="240"/>
      <c r="C172" s="231">
        <v>0</v>
      </c>
      <c r="D172" s="241">
        <v>0</v>
      </c>
      <c r="E172" s="61"/>
      <c r="F172" s="45"/>
      <c r="G172" s="45"/>
      <c r="H172" s="45"/>
    </row>
    <row r="173" spans="1:8" x14ac:dyDescent="0.25">
      <c r="A173" s="501"/>
      <c r="B173" s="240"/>
      <c r="C173" s="231">
        <v>0</v>
      </c>
      <c r="D173" s="241">
        <v>0</v>
      </c>
      <c r="E173" s="61"/>
      <c r="F173" s="45"/>
      <c r="G173" s="45"/>
      <c r="H173" s="45"/>
    </row>
    <row r="174" spans="1:8" x14ac:dyDescent="0.25">
      <c r="A174" s="501"/>
      <c r="B174" s="240"/>
      <c r="C174" s="231">
        <v>0</v>
      </c>
      <c r="D174" s="241">
        <v>0</v>
      </c>
      <c r="E174" s="61"/>
      <c r="F174" s="45"/>
      <c r="G174" s="45"/>
      <c r="H174" s="45"/>
    </row>
    <row r="175" spans="1:8" x14ac:dyDescent="0.25">
      <c r="A175" s="501"/>
      <c r="B175" s="240"/>
      <c r="C175" s="231">
        <v>0</v>
      </c>
      <c r="D175" s="241">
        <v>0</v>
      </c>
      <c r="E175" s="61"/>
      <c r="F175" s="45"/>
      <c r="G175" s="45"/>
      <c r="H175" s="45"/>
    </row>
    <row r="176" spans="1:8" x14ac:dyDescent="0.25">
      <c r="A176" s="501"/>
      <c r="B176" s="240"/>
      <c r="C176" s="231">
        <v>0</v>
      </c>
      <c r="D176" s="241">
        <v>0</v>
      </c>
      <c r="E176" s="61"/>
      <c r="F176" s="45"/>
      <c r="G176" s="45"/>
      <c r="H176" s="45"/>
    </row>
    <row r="177" spans="1:8" x14ac:dyDescent="0.25">
      <c r="A177" s="501"/>
      <c r="B177" s="240"/>
      <c r="C177" s="231">
        <v>0</v>
      </c>
      <c r="D177" s="241">
        <v>0</v>
      </c>
      <c r="E177" s="61"/>
      <c r="F177" s="45"/>
      <c r="G177" s="45"/>
      <c r="H177" s="45"/>
    </row>
    <row r="178" spans="1:8" x14ac:dyDescent="0.25">
      <c r="A178" s="501"/>
      <c r="B178" s="240"/>
      <c r="C178" s="231">
        <v>0</v>
      </c>
      <c r="D178" s="241">
        <v>0</v>
      </c>
      <c r="E178" s="61"/>
      <c r="F178" s="45"/>
      <c r="G178" s="45"/>
      <c r="H178" s="45"/>
    </row>
    <row r="179" spans="1:8" x14ac:dyDescent="0.25">
      <c r="A179" s="501"/>
      <c r="B179" s="240"/>
      <c r="C179" s="231">
        <v>0</v>
      </c>
      <c r="D179" s="241">
        <v>0</v>
      </c>
      <c r="E179" s="61"/>
      <c r="F179" s="45"/>
      <c r="G179" s="45"/>
      <c r="H179" s="45"/>
    </row>
    <row r="180" spans="1:8" x14ac:dyDescent="0.25">
      <c r="A180" s="501"/>
      <c r="B180" s="240"/>
      <c r="C180" s="231">
        <v>0</v>
      </c>
      <c r="D180" s="241">
        <v>0</v>
      </c>
      <c r="E180" s="61"/>
      <c r="F180" s="45"/>
      <c r="G180" s="45"/>
      <c r="H180" s="45"/>
    </row>
    <row r="181" spans="1:8" x14ac:dyDescent="0.25">
      <c r="A181" s="501"/>
      <c r="B181" s="240"/>
      <c r="C181" s="231">
        <v>0</v>
      </c>
      <c r="D181" s="241">
        <v>0</v>
      </c>
      <c r="E181" s="61"/>
      <c r="F181" s="45"/>
      <c r="G181" s="45"/>
      <c r="H181" s="45"/>
    </row>
    <row r="182" spans="1:8" x14ac:dyDescent="0.25">
      <c r="A182" s="501"/>
      <c r="B182" s="240"/>
      <c r="C182" s="231">
        <v>0</v>
      </c>
      <c r="D182" s="241">
        <v>0</v>
      </c>
      <c r="E182" s="61"/>
      <c r="F182" s="45"/>
      <c r="G182" s="45"/>
      <c r="H182" s="45"/>
    </row>
    <row r="183" spans="1:8" x14ac:dyDescent="0.25">
      <c r="A183" s="501"/>
      <c r="B183" s="240"/>
      <c r="C183" s="231">
        <v>0</v>
      </c>
      <c r="D183" s="241">
        <v>0</v>
      </c>
      <c r="E183" s="61"/>
      <c r="F183" s="45"/>
      <c r="G183" s="45"/>
      <c r="H183" s="45"/>
    </row>
    <row r="184" spans="1:8" x14ac:dyDescent="0.25">
      <c r="A184" s="501"/>
      <c r="B184" s="240"/>
      <c r="C184" s="231">
        <v>0</v>
      </c>
      <c r="D184" s="241">
        <v>0</v>
      </c>
      <c r="E184" s="61"/>
      <c r="F184" s="45"/>
      <c r="G184" s="45"/>
      <c r="H184" s="45"/>
    </row>
    <row r="185" spans="1:8" x14ac:dyDescent="0.25">
      <c r="A185" s="501"/>
      <c r="B185" s="240"/>
      <c r="C185" s="231">
        <v>0</v>
      </c>
      <c r="D185" s="241">
        <v>0</v>
      </c>
      <c r="E185" s="61"/>
      <c r="F185" s="45"/>
      <c r="G185" s="45"/>
      <c r="H185" s="45"/>
    </row>
    <row r="186" spans="1:8" x14ac:dyDescent="0.25">
      <c r="A186" s="501"/>
      <c r="B186" s="240"/>
      <c r="C186" s="231">
        <v>0</v>
      </c>
      <c r="D186" s="241">
        <v>0</v>
      </c>
      <c r="E186" s="61"/>
      <c r="F186" s="45"/>
      <c r="G186" s="45"/>
      <c r="H186" s="45"/>
    </row>
    <row r="187" spans="1:8" x14ac:dyDescent="0.25">
      <c r="A187" s="501"/>
      <c r="B187" s="240"/>
      <c r="C187" s="231">
        <v>0</v>
      </c>
      <c r="D187" s="241">
        <v>0</v>
      </c>
      <c r="E187" s="61"/>
      <c r="F187" s="45"/>
      <c r="G187" s="45"/>
      <c r="H187" s="45"/>
    </row>
    <row r="188" spans="1:8" x14ac:dyDescent="0.25">
      <c r="A188" s="501"/>
      <c r="B188" s="240"/>
      <c r="C188" s="231">
        <v>0</v>
      </c>
      <c r="D188" s="241">
        <v>0</v>
      </c>
      <c r="E188" s="61"/>
      <c r="F188" s="45"/>
      <c r="G188" s="45"/>
      <c r="H188" s="45"/>
    </row>
    <row r="189" spans="1:8" x14ac:dyDescent="0.25">
      <c r="A189" s="501"/>
      <c r="B189" s="240"/>
      <c r="C189" s="231">
        <v>0</v>
      </c>
      <c r="D189" s="241">
        <v>0</v>
      </c>
      <c r="E189" s="61"/>
      <c r="F189" s="45"/>
      <c r="G189" s="45"/>
      <c r="H189" s="45"/>
    </row>
    <row r="190" spans="1:8" x14ac:dyDescent="0.25">
      <c r="A190" s="501"/>
      <c r="B190" s="240"/>
      <c r="C190" s="231">
        <v>0</v>
      </c>
      <c r="D190" s="241">
        <v>0</v>
      </c>
      <c r="E190" s="61"/>
      <c r="F190" s="45"/>
      <c r="G190" s="45"/>
      <c r="H190" s="45"/>
    </row>
    <row r="191" spans="1:8" x14ac:dyDescent="0.25">
      <c r="A191" s="501"/>
      <c r="B191" s="240"/>
      <c r="C191" s="231">
        <v>0</v>
      </c>
      <c r="D191" s="241">
        <v>0</v>
      </c>
      <c r="E191" s="125"/>
      <c r="F191" s="45"/>
      <c r="G191" s="45"/>
      <c r="H191" s="45"/>
    </row>
    <row r="192" spans="1:8" hidden="1" x14ac:dyDescent="0.25">
      <c r="A192" s="501"/>
      <c r="B192" s="240"/>
      <c r="C192" s="231"/>
      <c r="D192" s="241"/>
      <c r="E192" s="125"/>
      <c r="F192" s="45"/>
      <c r="G192" s="45"/>
      <c r="H192" s="45"/>
    </row>
    <row r="193" spans="1:8" hidden="1" x14ac:dyDescent="0.25">
      <c r="A193" s="501"/>
      <c r="B193" s="240"/>
      <c r="C193" s="231"/>
      <c r="D193" s="241"/>
      <c r="E193" s="125"/>
      <c r="F193" s="45"/>
      <c r="G193" s="45"/>
      <c r="H193" s="45"/>
    </row>
    <row r="194" spans="1:8" x14ac:dyDescent="0.25">
      <c r="A194" s="501"/>
      <c r="B194" s="240"/>
      <c r="C194" s="231">
        <v>0</v>
      </c>
      <c r="D194" s="241">
        <v>0</v>
      </c>
      <c r="E194" s="125"/>
      <c r="F194" s="45"/>
      <c r="G194" s="45"/>
      <c r="H194" s="45"/>
    </row>
    <row r="195" spans="1:8" x14ac:dyDescent="0.25">
      <c r="A195" s="501"/>
      <c r="B195" s="242"/>
      <c r="C195" s="243">
        <v>0</v>
      </c>
      <c r="D195" s="244">
        <v>0</v>
      </c>
      <c r="E195" s="125"/>
      <c r="F195" s="45"/>
      <c r="G195" s="45"/>
      <c r="H195" s="45"/>
    </row>
    <row r="196" spans="1:8" x14ac:dyDescent="0.25">
      <c r="A196" s="501"/>
      <c r="B196" s="242"/>
      <c r="C196" s="243">
        <v>0</v>
      </c>
      <c r="D196" s="244">
        <v>0</v>
      </c>
      <c r="E196" s="125"/>
      <c r="F196" s="45"/>
      <c r="G196" s="45"/>
      <c r="H196" s="45"/>
    </row>
    <row r="197" spans="1:8" ht="15.75" thickBot="1" x14ac:dyDescent="0.3">
      <c r="A197" s="501"/>
      <c r="B197" s="245" t="s">
        <v>237</v>
      </c>
      <c r="C197" s="232">
        <v>0</v>
      </c>
      <c r="D197" s="246">
        <v>0</v>
      </c>
      <c r="E197" s="66"/>
      <c r="F197" s="45"/>
      <c r="G197" s="45"/>
      <c r="H197" s="45"/>
    </row>
    <row r="198" spans="1:8" ht="30.75" customHeight="1" x14ac:dyDescent="0.25">
      <c r="A198" s="126"/>
      <c r="B198" s="127" t="s">
        <v>69</v>
      </c>
      <c r="C198" s="128">
        <f>SUM(C163:C197)</f>
        <v>3773</v>
      </c>
      <c r="D198" s="128">
        <f>SUM(D163:D197)</f>
        <v>3707</v>
      </c>
      <c r="E198" s="438" t="str">
        <f>IF((ABS(D198-D138+SUM(D158:D160)))&gt;1,"Nesoulad délek ve sloupci v žádosti (řady + příp.) s délkou v řádku 138","")</f>
        <v/>
      </c>
      <c r="F198" s="438"/>
      <c r="G198" s="438"/>
      <c r="H198" s="45"/>
    </row>
    <row r="199" spans="1:8" ht="15.75" thickBot="1" x14ac:dyDescent="0.3">
      <c r="A199" s="126"/>
      <c r="B199" s="45"/>
      <c r="C199" s="45"/>
      <c r="D199" s="45"/>
      <c r="E199" s="250"/>
      <c r="F199" s="45"/>
      <c r="G199" s="45"/>
      <c r="H199" s="45"/>
    </row>
    <row r="200" spans="1:8" ht="17.25" customHeight="1" thickBot="1" x14ac:dyDescent="0.3">
      <c r="A200" s="126"/>
      <c r="B200" s="117" t="s">
        <v>264</v>
      </c>
      <c r="C200" s="129"/>
      <c r="D200" s="45"/>
      <c r="E200" s="130"/>
      <c r="F200" s="130"/>
      <c r="G200" s="130"/>
      <c r="H200" s="130"/>
    </row>
    <row r="201" spans="1:8" ht="24.75" customHeight="1" thickBot="1" x14ac:dyDescent="0.3">
      <c r="A201" s="126"/>
      <c r="B201" s="131" t="s">
        <v>265</v>
      </c>
      <c r="C201" s="132"/>
      <c r="D201" s="45"/>
      <c r="E201" s="45"/>
      <c r="F201" s="130"/>
      <c r="G201" s="130"/>
      <c r="H201" s="130"/>
    </row>
    <row r="202" spans="1:8" ht="15.75" thickBot="1" x14ac:dyDescent="0.3">
      <c r="A202" s="45"/>
      <c r="B202" s="45"/>
      <c r="C202" s="45"/>
      <c r="D202" s="45"/>
      <c r="E202" s="45"/>
      <c r="F202" s="130"/>
      <c r="G202" s="130"/>
      <c r="H202" s="130"/>
    </row>
    <row r="203" spans="1:8" ht="16.5" thickBot="1" x14ac:dyDescent="0.3">
      <c r="A203" s="133"/>
      <c r="B203" s="446" t="s">
        <v>286</v>
      </c>
      <c r="C203" s="447"/>
      <c r="D203" s="130"/>
      <c r="E203" s="45"/>
      <c r="F203" s="130"/>
      <c r="G203" s="130"/>
      <c r="H203" s="130"/>
    </row>
    <row r="204" spans="1:8" ht="30.75" customHeight="1" x14ac:dyDescent="0.25">
      <c r="A204" s="134"/>
      <c r="B204" s="442" t="s">
        <v>427</v>
      </c>
      <c r="C204" s="443"/>
      <c r="D204" s="54"/>
      <c r="E204" s="45"/>
      <c r="F204" s="130"/>
      <c r="G204" s="130"/>
      <c r="H204" s="130"/>
    </row>
    <row r="205" spans="1:8" ht="18" customHeight="1" thickBot="1" x14ac:dyDescent="0.3">
      <c r="A205" s="134"/>
      <c r="B205" s="444" t="s">
        <v>280</v>
      </c>
      <c r="C205" s="445"/>
      <c r="D205" s="56"/>
      <c r="E205" s="45"/>
      <c r="F205" s="130"/>
      <c r="G205" s="130"/>
      <c r="H205" s="130"/>
    </row>
    <row r="206" spans="1:8" ht="15.75" thickBot="1" x14ac:dyDescent="0.3">
      <c r="A206" s="45"/>
      <c r="B206" s="129"/>
      <c r="C206" s="129"/>
      <c r="D206" s="45"/>
      <c r="E206" s="45"/>
      <c r="F206" s="130"/>
      <c r="G206" s="130"/>
      <c r="H206" s="130"/>
    </row>
    <row r="207" spans="1:8" ht="16.5" thickBot="1" x14ac:dyDescent="0.3">
      <c r="A207" s="359"/>
      <c r="B207" s="117" t="s">
        <v>360</v>
      </c>
      <c r="C207" s="53"/>
      <c r="D207" s="289"/>
      <c r="E207" s="45"/>
      <c r="F207" s="130"/>
      <c r="G207" s="130"/>
      <c r="H207" s="130"/>
    </row>
    <row r="208" spans="1:8" ht="15.75" thickBot="1" x14ac:dyDescent="0.3">
      <c r="A208" s="359"/>
      <c r="B208" s="439" t="s">
        <v>460</v>
      </c>
      <c r="C208" s="440"/>
      <c r="D208" s="440"/>
      <c r="E208" s="441"/>
      <c r="F208" s="130"/>
      <c r="G208" s="130"/>
      <c r="H208" s="130"/>
    </row>
    <row r="209" spans="1:10" s="45" customFormat="1" x14ac:dyDescent="0.25">
      <c r="B209" s="129"/>
      <c r="C209" s="129"/>
      <c r="F209" s="130"/>
      <c r="G209" s="130"/>
      <c r="H209" s="130"/>
      <c r="J209" s="290"/>
    </row>
    <row r="210" spans="1:10" ht="15.75" thickBot="1" x14ac:dyDescent="0.3">
      <c r="A210" s="45"/>
      <c r="B210" s="129"/>
      <c r="C210" s="129"/>
      <c r="D210" s="135"/>
      <c r="E210" s="130"/>
      <c r="F210" s="130"/>
      <c r="G210" s="130"/>
      <c r="H210" s="130"/>
    </row>
    <row r="211" spans="1:10" ht="16.5" thickBot="1" x14ac:dyDescent="0.3">
      <c r="A211" s="136"/>
      <c r="B211" s="137" t="s">
        <v>263</v>
      </c>
      <c r="C211" s="45"/>
      <c r="D211" s="45"/>
      <c r="E211" s="45"/>
      <c r="F211" s="45"/>
      <c r="G211" s="45"/>
      <c r="H211" s="45"/>
    </row>
    <row r="212" spans="1:10" ht="16.5" thickBot="1" x14ac:dyDescent="0.3">
      <c r="A212" s="136"/>
      <c r="B212" s="138" t="s">
        <v>220</v>
      </c>
      <c r="C212" s="139" t="s">
        <v>193</v>
      </c>
      <c r="D212" s="139" t="s">
        <v>192</v>
      </c>
      <c r="E212" s="139" t="s">
        <v>95</v>
      </c>
      <c r="F212" s="45"/>
      <c r="G212" s="45"/>
      <c r="H212" s="45"/>
    </row>
    <row r="213" spans="1:10" x14ac:dyDescent="0.25">
      <c r="A213" s="136"/>
      <c r="B213" s="181" t="s">
        <v>351</v>
      </c>
      <c r="C213" s="305">
        <f>FLOOR(D138/1000,0.01)</f>
        <v>3.9</v>
      </c>
      <c r="D213" s="112" t="s">
        <v>194</v>
      </c>
      <c r="E213" s="140" t="s">
        <v>197</v>
      </c>
      <c r="F213" s="45"/>
      <c r="G213" s="45"/>
      <c r="H213" s="45"/>
    </row>
    <row r="214" spans="1:10" x14ac:dyDescent="0.25">
      <c r="A214" s="136"/>
      <c r="B214" s="182" t="s">
        <v>221</v>
      </c>
      <c r="C214" s="306">
        <f>FLOOR(((D142+D141)/1000),0.01)</f>
        <v>3.7</v>
      </c>
      <c r="D214" s="113" t="s">
        <v>194</v>
      </c>
      <c r="E214" s="141" t="s">
        <v>197</v>
      </c>
      <c r="F214" s="45"/>
      <c r="G214" s="45"/>
      <c r="H214" s="45"/>
    </row>
    <row r="215" spans="1:10" x14ac:dyDescent="0.25">
      <c r="A215" s="136"/>
      <c r="B215" s="182" t="s">
        <v>352</v>
      </c>
      <c r="C215" s="307">
        <f>D84</f>
        <v>0</v>
      </c>
      <c r="D215" s="113" t="s">
        <v>215</v>
      </c>
      <c r="E215" s="141" t="s">
        <v>197</v>
      </c>
      <c r="F215" s="45"/>
      <c r="G215" s="45"/>
      <c r="H215" s="45"/>
    </row>
    <row r="216" spans="1:10" x14ac:dyDescent="0.25">
      <c r="A216" s="136"/>
      <c r="B216" s="182" t="s">
        <v>353</v>
      </c>
      <c r="C216" s="308">
        <f>D85</f>
        <v>0</v>
      </c>
      <c r="D216" s="113" t="s">
        <v>195</v>
      </c>
      <c r="E216" s="141" t="s">
        <v>197</v>
      </c>
      <c r="F216" s="45"/>
      <c r="G216" s="45"/>
      <c r="H216" s="45"/>
    </row>
    <row r="217" spans="1:10" ht="30" x14ac:dyDescent="0.25">
      <c r="A217" s="136"/>
      <c r="B217" s="190" t="s">
        <v>412</v>
      </c>
      <c r="C217" s="288">
        <v>110</v>
      </c>
      <c r="D217" s="144" t="s">
        <v>365</v>
      </c>
      <c r="E217" s="141" t="s">
        <v>197</v>
      </c>
      <c r="F217" s="45"/>
      <c r="G217" s="45"/>
      <c r="H217" s="45"/>
    </row>
    <row r="218" spans="1:10" ht="15.75" thickBot="1" x14ac:dyDescent="0.3">
      <c r="A218" s="136"/>
      <c r="B218" s="142" t="s">
        <v>359</v>
      </c>
      <c r="C218" s="288">
        <v>110</v>
      </c>
      <c r="D218" s="114" t="s">
        <v>195</v>
      </c>
      <c r="E218" s="143" t="s">
        <v>197</v>
      </c>
      <c r="F218" s="45"/>
      <c r="G218" s="45"/>
      <c r="H218" s="45"/>
    </row>
    <row r="219" spans="1:10" s="45" customFormat="1" ht="15.75" customHeight="1" x14ac:dyDescent="0.25">
      <c r="A219" s="136"/>
      <c r="B219" s="181" t="s">
        <v>55</v>
      </c>
      <c r="C219" s="309">
        <f>D93</f>
        <v>0</v>
      </c>
      <c r="D219" s="112" t="s">
        <v>215</v>
      </c>
      <c r="E219" s="140" t="s">
        <v>198</v>
      </c>
      <c r="J219" s="263"/>
    </row>
    <row r="220" spans="1:10" s="45" customFormat="1" ht="30.75" thickBot="1" x14ac:dyDescent="0.3">
      <c r="A220" s="136"/>
      <c r="B220" s="190" t="s">
        <v>354</v>
      </c>
      <c r="C220" s="310">
        <f>D97</f>
        <v>0</v>
      </c>
      <c r="D220" s="144" t="s">
        <v>195</v>
      </c>
      <c r="E220" s="145" t="s">
        <v>198</v>
      </c>
      <c r="J220" s="263"/>
    </row>
    <row r="221" spans="1:10" s="45" customFormat="1" x14ac:dyDescent="0.25">
      <c r="A221" s="136"/>
      <c r="B221" s="191" t="s">
        <v>213</v>
      </c>
      <c r="C221" s="311">
        <f>SUM(D117:D121,D124:D128)</f>
        <v>0</v>
      </c>
      <c r="D221" s="112" t="s">
        <v>215</v>
      </c>
      <c r="E221" s="140" t="s">
        <v>199</v>
      </c>
      <c r="J221" s="263"/>
    </row>
    <row r="222" spans="1:10" s="45" customFormat="1" x14ac:dyDescent="0.25">
      <c r="A222" s="136"/>
      <c r="B222" s="192" t="s">
        <v>214</v>
      </c>
      <c r="C222" s="308">
        <f>SUM(C117:C121,C124:C128)</f>
        <v>0</v>
      </c>
      <c r="D222" s="113" t="s">
        <v>216</v>
      </c>
      <c r="E222" s="141" t="s">
        <v>199</v>
      </c>
      <c r="J222" s="263"/>
    </row>
    <row r="223" spans="1:10" s="45" customFormat="1" x14ac:dyDescent="0.25">
      <c r="A223" s="136"/>
      <c r="B223" s="192" t="s">
        <v>288</v>
      </c>
      <c r="C223" s="288" t="s">
        <v>438</v>
      </c>
      <c r="D223" s="113" t="s">
        <v>217</v>
      </c>
      <c r="E223" s="141" t="s">
        <v>199</v>
      </c>
      <c r="J223" s="263"/>
    </row>
    <row r="224" spans="1:10" s="45" customFormat="1" ht="32.25" customHeight="1" thickBot="1" x14ac:dyDescent="0.3">
      <c r="A224" s="136"/>
      <c r="B224" s="146" t="s">
        <v>361</v>
      </c>
      <c r="C224" s="288" t="s">
        <v>438</v>
      </c>
      <c r="D224" s="144" t="s">
        <v>215</v>
      </c>
      <c r="E224" s="145" t="s">
        <v>199</v>
      </c>
      <c r="J224" s="263"/>
    </row>
    <row r="225" spans="1:10" s="45" customFormat="1" ht="33.75" thickBot="1" x14ac:dyDescent="0.3">
      <c r="A225" s="136"/>
      <c r="B225" s="147" t="s">
        <v>355</v>
      </c>
      <c r="C225" s="312">
        <f>G76</f>
        <v>4.57</v>
      </c>
      <c r="D225" s="148" t="s">
        <v>196</v>
      </c>
      <c r="E225" s="149" t="s">
        <v>279</v>
      </c>
      <c r="J225" s="263"/>
    </row>
    <row r="226" spans="1:10" s="45" customFormat="1" ht="33" x14ac:dyDescent="0.25">
      <c r="A226" s="136"/>
      <c r="B226" s="191" t="s">
        <v>356</v>
      </c>
      <c r="C226" s="247">
        <v>4.57</v>
      </c>
      <c r="D226" s="112" t="s">
        <v>196</v>
      </c>
      <c r="E226" s="140" t="s">
        <v>197</v>
      </c>
      <c r="J226" s="263"/>
    </row>
    <row r="227" spans="1:10" s="45" customFormat="1" ht="33" x14ac:dyDescent="0.25">
      <c r="A227" s="136"/>
      <c r="B227" s="192" t="s">
        <v>357</v>
      </c>
      <c r="C227" s="248">
        <v>0</v>
      </c>
      <c r="D227" s="113" t="s">
        <v>196</v>
      </c>
      <c r="E227" s="141" t="s">
        <v>198</v>
      </c>
      <c r="J227" s="263"/>
    </row>
    <row r="228" spans="1:10" s="45" customFormat="1" ht="33.75" thickBot="1" x14ac:dyDescent="0.3">
      <c r="A228" s="136"/>
      <c r="B228" s="198" t="s">
        <v>358</v>
      </c>
      <c r="C228" s="249">
        <v>0</v>
      </c>
      <c r="D228" s="114" t="s">
        <v>196</v>
      </c>
      <c r="E228" s="143" t="s">
        <v>199</v>
      </c>
      <c r="J228" s="263"/>
    </row>
    <row r="229" spans="1:10" x14ac:dyDescent="0.25">
      <c r="A229" s="45"/>
      <c r="B229" s="45" t="s">
        <v>267</v>
      </c>
      <c r="C229" s="438" t="str">
        <f>IF(ABS(C225-SUM(C226:C228))&gt;0.01,"Nesprávné rozložení celk. efektu CHSKcr za projekt vůči jednotlivým opatřením","")</f>
        <v/>
      </c>
      <c r="D229" s="438"/>
      <c r="E229" s="45"/>
      <c r="F229" s="45"/>
      <c r="G229" s="45"/>
      <c r="H229" s="45"/>
    </row>
    <row r="230" spans="1:10" x14ac:dyDescent="0.25">
      <c r="A230" s="45"/>
      <c r="B230" s="45"/>
      <c r="C230" s="438"/>
      <c r="D230" s="438"/>
      <c r="E230" s="45"/>
      <c r="F230" s="45"/>
      <c r="G230" s="45"/>
      <c r="H230" s="45"/>
    </row>
    <row r="231" spans="1:10" ht="15.75" thickBot="1" x14ac:dyDescent="0.3">
      <c r="A231" s="45"/>
      <c r="B231" s="45"/>
      <c r="C231" s="45"/>
      <c r="D231" s="45"/>
      <c r="E231" s="45"/>
      <c r="F231" s="45"/>
      <c r="G231" s="45"/>
      <c r="H231" s="45"/>
    </row>
    <row r="232" spans="1:10" ht="16.5" thickBot="1" x14ac:dyDescent="0.3">
      <c r="A232" s="431" t="s">
        <v>419</v>
      </c>
      <c r="B232" s="432"/>
      <c r="C232" s="432"/>
      <c r="D232" s="354" t="str">
        <f>'zdroj#1'!T13</f>
        <v>Výzva č.42</v>
      </c>
      <c r="E232" s="45"/>
      <c r="F232" s="45"/>
      <c r="G232" s="45"/>
      <c r="H232" s="45"/>
    </row>
    <row r="233" spans="1:10" x14ac:dyDescent="0.25">
      <c r="A233" s="73"/>
      <c r="B233" s="45"/>
      <c r="C233" s="45"/>
      <c r="D233" s="61"/>
      <c r="E233" s="45"/>
      <c r="F233" s="45"/>
      <c r="G233" s="45"/>
      <c r="H233" s="45"/>
    </row>
    <row r="234" spans="1:10" ht="16.5" thickBot="1" x14ac:dyDescent="0.3">
      <c r="A234" s="73"/>
      <c r="B234" s="45"/>
      <c r="C234" s="347" t="s">
        <v>153</v>
      </c>
      <c r="D234" s="348" t="s">
        <v>414</v>
      </c>
      <c r="E234" s="45"/>
      <c r="F234" s="45"/>
      <c r="G234" s="45"/>
      <c r="H234" s="45"/>
    </row>
    <row r="235" spans="1:10" ht="30.75" customHeight="1" x14ac:dyDescent="0.25">
      <c r="A235" s="433" t="s">
        <v>413</v>
      </c>
      <c r="B235" s="349" t="str">
        <f>'Hodnocení#1'!C18</f>
        <v>Soulad s plánováním v oblasti vod</v>
      </c>
      <c r="C235" s="350" t="str">
        <f>'Hodnocení#1'!D18</f>
        <v>10 / 8 / 5 / 1</v>
      </c>
      <c r="D235" s="351">
        <f>'Hodnocení#1'!E18</f>
        <v>10</v>
      </c>
      <c r="E235" s="45"/>
      <c r="F235" s="45"/>
      <c r="G235" s="45"/>
      <c r="H235" s="45"/>
    </row>
    <row r="236" spans="1:10" ht="24" customHeight="1" x14ac:dyDescent="0.25">
      <c r="A236" s="434"/>
      <c r="B236" s="335" t="str">
        <f>'Hodnocení#1'!C19</f>
        <v>Vliv opatření na stav vodního útvaru</v>
      </c>
      <c r="C236" s="336" t="str">
        <f>'Hodnocení#1'!D19</f>
        <v>8 / 5 / 3 / 1</v>
      </c>
      <c r="D236" s="338">
        <f>'Hodnocení#1'!E19</f>
        <v>3</v>
      </c>
      <c r="E236" s="45"/>
      <c r="F236" s="45"/>
      <c r="G236" s="45"/>
      <c r="H236" s="45"/>
    </row>
    <row r="237" spans="1:10" ht="53.25" customHeight="1" x14ac:dyDescent="0.25">
      <c r="A237" s="434"/>
      <c r="B237" s="335" t="str">
        <f>'Hodnocení#1'!C20</f>
        <v>Volné výusti / přepojení či int. pobočkových ČOV / dostavba kanalizace v aglomeraci nad 2000 EO s nap. pod 98%</v>
      </c>
      <c r="C237" s="336" t="str">
        <f>'Hodnocení#1'!D20</f>
        <v>15 / 10 / 5</v>
      </c>
      <c r="D237" s="338">
        <f>'Hodnocení#1'!E20</f>
        <v>5</v>
      </c>
      <c r="E237" s="45"/>
      <c r="F237" s="45"/>
      <c r="G237" s="45"/>
      <c r="H237" s="45"/>
    </row>
    <row r="238" spans="1:10" ht="18.75" customHeight="1" x14ac:dyDescent="0.25">
      <c r="A238" s="434"/>
      <c r="B238" s="335" t="str">
        <f>'Hodnocení#1'!C21</f>
        <v>Chráněná území - zlepšení jakosti vod</v>
      </c>
      <c r="C238" s="336" t="str">
        <f>'Hodnocení#1'!D21</f>
        <v>7 / 5 / 4 / 3 / 2 / 1</v>
      </c>
      <c r="D238" s="338">
        <f>'Hodnocení#1'!E21</f>
        <v>2</v>
      </c>
      <c r="E238" s="45"/>
      <c r="F238" s="45"/>
      <c r="G238" s="45"/>
      <c r="H238" s="45"/>
    </row>
    <row r="239" spans="1:10" ht="20.25" customHeight="1" thickBot="1" x14ac:dyDescent="0.3">
      <c r="A239" s="435"/>
      <c r="B239" s="343" t="str">
        <f>'Hodnocení#1'!C22</f>
        <v>Velikost řešeného zdroje znečištění</v>
      </c>
      <c r="C239" s="344" t="str">
        <f>'Hodnocení#1'!D22</f>
        <v>10 / 7 / 5 / 3 / 1</v>
      </c>
      <c r="D239" s="345">
        <f>'Hodnocení#1'!E22</f>
        <v>3</v>
      </c>
      <c r="E239" s="45"/>
      <c r="F239" s="45"/>
      <c r="G239" s="45"/>
      <c r="H239" s="45"/>
    </row>
    <row r="240" spans="1:10" ht="16.5" thickBot="1" x14ac:dyDescent="0.3">
      <c r="A240" s="339"/>
      <c r="B240" s="340"/>
      <c r="C240" s="341"/>
      <c r="D240" s="342"/>
      <c r="E240" s="45"/>
      <c r="F240" s="45"/>
      <c r="G240" s="45"/>
      <c r="H240" s="45"/>
    </row>
    <row r="241" spans="1:8" ht="40.5" customHeight="1" x14ac:dyDescent="0.25">
      <c r="A241" s="433" t="s">
        <v>156</v>
      </c>
      <c r="B241" s="349" t="str">
        <f>'Hodnocení#1'!C24</f>
        <v>Nová ČOV/přivaděč - nákladová efektivnost Kč/EO</v>
      </c>
      <c r="C241" s="350" t="str">
        <f>'Hodnocení#1'!D24</f>
        <v>10 / 7 / 5 / 1</v>
      </c>
      <c r="D241" s="351">
        <f>'Hodnocení#1'!E24</f>
        <v>1</v>
      </c>
      <c r="E241" s="45"/>
      <c r="F241" s="45"/>
      <c r="G241" s="45"/>
      <c r="H241" s="45"/>
    </row>
    <row r="242" spans="1:8" ht="20.25" customHeight="1" x14ac:dyDescent="0.25">
      <c r="A242" s="434"/>
      <c r="B242" s="335" t="str">
        <f>'Hodnocení#1'!C25</f>
        <v>ČOV rek./int. - kvalita řešení</v>
      </c>
      <c r="C242" s="336" t="str">
        <f>'Hodnocení#1'!D25</f>
        <v>5 / 3 / 2 / 0 = zamítnutí</v>
      </c>
      <c r="D242" s="338" t="str">
        <f>'Hodnocení#1'!E25</f>
        <v>Irelevantní</v>
      </c>
      <c r="E242" s="151"/>
      <c r="F242" s="151"/>
      <c r="G242" s="151"/>
      <c r="H242" s="151"/>
    </row>
    <row r="243" spans="1:8" ht="20.25" customHeight="1" x14ac:dyDescent="0.25">
      <c r="A243" s="434"/>
      <c r="B243" s="335" t="str">
        <f>'Hodnocení#1'!C26</f>
        <v>ČOV rek./int. - náklady</v>
      </c>
      <c r="C243" s="336" t="str">
        <f>'Hodnocení#1'!D26</f>
        <v>5 / 2 / 0 = zamítnutí</v>
      </c>
      <c r="D243" s="338" t="str">
        <f>'Hodnocení#1'!E26</f>
        <v>Irelevantní</v>
      </c>
      <c r="E243" s="45"/>
      <c r="F243" s="45"/>
      <c r="G243" s="45"/>
      <c r="H243" s="45"/>
    </row>
    <row r="244" spans="1:8" ht="15.75" x14ac:dyDescent="0.25">
      <c r="A244" s="434"/>
      <c r="B244" s="335" t="str">
        <f>'Hodnocení#1'!C27</f>
        <v>Kanalizace - nákladovost Kč/EO</v>
      </c>
      <c r="C244" s="336" t="str">
        <f>'Hodnocení#1'!D27</f>
        <v>15 / 12 / 8 / 5 / 2 / 1</v>
      </c>
      <c r="D244" s="338">
        <f>'Hodnocení#1'!E27</f>
        <v>1</v>
      </c>
      <c r="E244" s="45"/>
      <c r="F244" s="45"/>
      <c r="G244" s="45"/>
      <c r="H244" s="45"/>
    </row>
    <row r="245" spans="1:8" ht="15.75" x14ac:dyDescent="0.25">
      <c r="A245" s="434"/>
      <c r="B245" s="335" t="str">
        <f>'Hodnocení#1'!C28</f>
        <v>Kanalizace - nákladovost Kč/1bm</v>
      </c>
      <c r="C245" s="336" t="str">
        <f>'Hodnocení#1'!D28</f>
        <v>10 / 7 / 5 / 3 / 1</v>
      </c>
      <c r="D245" s="338">
        <f>'Hodnocení#1'!E28</f>
        <v>1</v>
      </c>
      <c r="E245" s="45"/>
      <c r="F245" s="45"/>
      <c r="G245" s="45"/>
      <c r="H245" s="45"/>
    </row>
    <row r="246" spans="1:8" ht="15.75" x14ac:dyDescent="0.25">
      <c r="A246" s="434"/>
      <c r="B246" s="335" t="str">
        <f>'Hodnocení#1'!C29</f>
        <v>Dešťové zdrže / OK - kvalita řešení</v>
      </c>
      <c r="C246" s="336" t="str">
        <f>'Hodnocení#1'!D29</f>
        <v>5 / 0 = zamítnutí</v>
      </c>
      <c r="D246" s="338">
        <f>'Hodnocení#1'!E29</f>
        <v>5</v>
      </c>
      <c r="E246" s="45"/>
      <c r="F246" s="45"/>
      <c r="G246" s="45"/>
      <c r="H246" s="45"/>
    </row>
    <row r="247" spans="1:8" ht="15.75" x14ac:dyDescent="0.25">
      <c r="A247" s="434"/>
      <c r="B247" s="335" t="str">
        <f>'Hodnocení#1'!C30</f>
        <v>Dešťové zdrže / OK - náklady</v>
      </c>
      <c r="C247" s="336" t="str">
        <f>'Hodnocení#1'!D30</f>
        <v>5 / 2 / 0 = zamítnutí</v>
      </c>
      <c r="D247" s="338" t="str">
        <f>'Hodnocení#1'!E30</f>
        <v>Irelevantní</v>
      </c>
      <c r="E247" s="45"/>
      <c r="F247" s="45"/>
      <c r="G247" s="45"/>
      <c r="H247" s="45"/>
    </row>
    <row r="248" spans="1:8" ht="32.25" thickBot="1" x14ac:dyDescent="0.3">
      <c r="A248" s="435"/>
      <c r="B248" s="343" t="str">
        <f>'Hodnocení#1'!C31</f>
        <v>Souhrnné kritérium k projektu - technicky nedořešen</v>
      </c>
      <c r="C248" s="344" t="str">
        <f>'Hodnocení#1'!D31</f>
        <v>5 / 0 = zamítnutí</v>
      </c>
      <c r="D248" s="345">
        <f>'Hodnocení#1'!E31</f>
        <v>5</v>
      </c>
      <c r="E248" s="45"/>
      <c r="F248" s="45"/>
      <c r="G248" s="45"/>
      <c r="H248" s="45"/>
    </row>
    <row r="249" spans="1:8" x14ac:dyDescent="0.25">
      <c r="A249" s="45"/>
      <c r="B249" s="45"/>
      <c r="C249" s="365" t="s">
        <v>429</v>
      </c>
      <c r="D249" s="366">
        <f>SUM(D235:D239,D241:D248)</f>
        <v>36</v>
      </c>
      <c r="E249" s="45"/>
      <c r="F249" s="45"/>
      <c r="G249" s="45"/>
      <c r="H249" s="45"/>
    </row>
    <row r="250" spans="1:8" x14ac:dyDescent="0.25">
      <c r="A250" s="45"/>
      <c r="B250" s="45"/>
      <c r="C250" s="337" t="s">
        <v>415</v>
      </c>
      <c r="D250" s="346">
        <f>'Hodnocení#1'!E32</f>
        <v>46</v>
      </c>
      <c r="E250" s="45"/>
      <c r="F250" s="45"/>
      <c r="G250" s="45"/>
      <c r="H250" s="45"/>
    </row>
    <row r="251" spans="1:8" x14ac:dyDescent="0.25">
      <c r="A251" s="45"/>
      <c r="B251" s="422" t="str">
        <f>CHOOSE('zdroj#1'!S18,'Hodnocení#1'!D38,IF(D249&lt;=14,"Projekt nesplňuje minimální bodové hodnocení pro soutěžní (kolové) výzvy - 15b (bez projektové připravenosti!)","Projekt dosahuje minimální bodové hodnocení (15b) pro soutěžní (kolovou) Výzvu č. 21"),"Na listě Pokyny_k_vyplnění nebyla vybrána Výzva k projektu!!!")</f>
        <v>Projekt dosahuje minimální bodové hodnocení (15b) pro soutěžní (kolovou) Výzvu č. 21</v>
      </c>
      <c r="C251" s="423"/>
      <c r="D251" s="424"/>
      <c r="E251" s="45"/>
      <c r="F251" s="45"/>
      <c r="G251" s="45"/>
      <c r="H251" s="45"/>
    </row>
    <row r="252" spans="1:8" x14ac:dyDescent="0.25">
      <c r="A252" s="45"/>
      <c r="B252" s="425"/>
      <c r="C252" s="426"/>
      <c r="D252" s="427"/>
      <c r="E252" s="45"/>
      <c r="F252" s="45"/>
      <c r="G252" s="45"/>
      <c r="H252" s="45"/>
    </row>
    <row r="253" spans="1:8" x14ac:dyDescent="0.25">
      <c r="A253" s="45"/>
      <c r="B253" s="425"/>
      <c r="C253" s="426"/>
      <c r="D253" s="427"/>
      <c r="E253" s="45"/>
      <c r="F253" s="45"/>
      <c r="G253" s="45"/>
      <c r="H253" s="45"/>
    </row>
    <row r="254" spans="1:8" x14ac:dyDescent="0.25">
      <c r="A254" s="45"/>
      <c r="B254" s="425"/>
      <c r="C254" s="426"/>
      <c r="D254" s="427"/>
      <c r="E254" s="45"/>
      <c r="F254" s="45"/>
      <c r="G254" s="45"/>
      <c r="H254" s="45"/>
    </row>
    <row r="255" spans="1:8" ht="29.25" customHeight="1" x14ac:dyDescent="0.25">
      <c r="A255" s="45"/>
      <c r="B255" s="428"/>
      <c r="C255" s="429"/>
      <c r="D255" s="430"/>
      <c r="E255" s="45"/>
      <c r="F255" s="45"/>
      <c r="G255" s="45"/>
      <c r="H255" s="45"/>
    </row>
    <row r="256" spans="1:8" x14ac:dyDescent="0.25">
      <c r="A256" s="45"/>
      <c r="B256" s="45"/>
      <c r="C256" s="45"/>
      <c r="D256" s="45"/>
      <c r="E256" s="45"/>
      <c r="F256" s="45"/>
      <c r="G256" s="45"/>
      <c r="H256" s="45"/>
    </row>
    <row r="257" spans="1:8" x14ac:dyDescent="0.25">
      <c r="A257" s="45"/>
      <c r="B257" s="45"/>
      <c r="C257" s="45"/>
      <c r="D257" s="45"/>
      <c r="E257" s="45"/>
      <c r="F257" s="45"/>
      <c r="G257" s="45"/>
      <c r="H257" s="45"/>
    </row>
    <row r="258" spans="1:8" x14ac:dyDescent="0.25">
      <c r="A258" s="45"/>
      <c r="B258" s="45"/>
      <c r="C258" s="45"/>
      <c r="D258" s="45"/>
      <c r="E258" s="45"/>
      <c r="F258" s="45"/>
      <c r="G258" s="45"/>
      <c r="H258" s="45"/>
    </row>
    <row r="259" spans="1:8" x14ac:dyDescent="0.25">
      <c r="A259" s="45"/>
      <c r="B259" s="45"/>
      <c r="C259" s="45"/>
      <c r="D259" s="45"/>
      <c r="E259" s="45"/>
      <c r="F259" s="45"/>
      <c r="G259" s="45"/>
      <c r="H259" s="45"/>
    </row>
    <row r="260" spans="1:8" x14ac:dyDescent="0.25">
      <c r="A260" s="45"/>
      <c r="B260" s="45"/>
      <c r="C260" s="45"/>
      <c r="D260" s="45"/>
      <c r="E260" s="45"/>
      <c r="F260" s="45"/>
      <c r="G260" s="45"/>
      <c r="H260" s="45"/>
    </row>
    <row r="261" spans="1:8" x14ac:dyDescent="0.25">
      <c r="A261" s="45"/>
      <c r="B261" s="45"/>
      <c r="C261" s="45"/>
      <c r="D261" s="45"/>
      <c r="E261" s="45"/>
      <c r="F261" s="45"/>
      <c r="G261" s="45"/>
      <c r="H261" s="45"/>
    </row>
    <row r="262" spans="1:8" x14ac:dyDescent="0.25">
      <c r="A262" s="45"/>
      <c r="B262" s="45"/>
      <c r="C262" s="45"/>
      <c r="D262" s="45"/>
      <c r="E262" s="45"/>
      <c r="F262" s="45"/>
      <c r="G262" s="45"/>
      <c r="H262" s="45"/>
    </row>
    <row r="263" spans="1:8" x14ac:dyDescent="0.25">
      <c r="A263" s="45"/>
      <c r="B263" s="45"/>
      <c r="C263" s="45"/>
      <c r="D263" s="45"/>
      <c r="E263" s="45"/>
      <c r="F263" s="45"/>
      <c r="G263" s="45"/>
      <c r="H263" s="45"/>
    </row>
    <row r="264" spans="1:8" x14ac:dyDescent="0.25">
      <c r="A264" s="45"/>
      <c r="B264" s="45"/>
      <c r="C264" s="45"/>
      <c r="D264" s="45"/>
      <c r="E264" s="45"/>
      <c r="F264" s="45"/>
      <c r="G264" s="45"/>
      <c r="H264" s="45"/>
    </row>
    <row r="265" spans="1:8" x14ac:dyDescent="0.25">
      <c r="A265" s="45"/>
      <c r="B265" s="45"/>
      <c r="C265" s="45"/>
      <c r="D265" s="45"/>
      <c r="E265" s="45"/>
      <c r="F265" s="45"/>
      <c r="G265" s="45"/>
      <c r="H265" s="45"/>
    </row>
    <row r="266" spans="1:8" x14ac:dyDescent="0.25">
      <c r="A266" s="45"/>
      <c r="B266" s="45"/>
      <c r="C266" s="45"/>
      <c r="D266" s="45"/>
      <c r="E266" s="45"/>
      <c r="F266" s="45"/>
      <c r="G266" s="45"/>
      <c r="H266" s="45"/>
    </row>
    <row r="267" spans="1:8" x14ac:dyDescent="0.25">
      <c r="A267" s="45"/>
      <c r="B267" s="45"/>
      <c r="C267" s="45"/>
      <c r="D267" s="45"/>
      <c r="E267" s="45"/>
      <c r="F267" s="45"/>
      <c r="G267" s="45"/>
      <c r="H267" s="45"/>
    </row>
    <row r="268" spans="1:8" x14ac:dyDescent="0.25">
      <c r="A268" s="45"/>
      <c r="B268" s="45"/>
      <c r="C268" s="45"/>
      <c r="D268" s="45"/>
      <c r="E268" s="45"/>
      <c r="F268" s="45"/>
      <c r="G268" s="45"/>
      <c r="H268" s="45"/>
    </row>
    <row r="269" spans="1:8" x14ac:dyDescent="0.25">
      <c r="A269" s="45"/>
      <c r="B269" s="45"/>
      <c r="C269" s="45"/>
      <c r="D269" s="45"/>
      <c r="E269" s="45"/>
      <c r="F269" s="45"/>
      <c r="G269" s="45"/>
      <c r="H269" s="45"/>
    </row>
    <row r="270" spans="1:8" x14ac:dyDescent="0.25">
      <c r="A270" s="45"/>
      <c r="B270" s="45"/>
      <c r="C270" s="45"/>
      <c r="D270" s="45"/>
      <c r="E270" s="45"/>
      <c r="F270" s="45"/>
      <c r="G270" s="45"/>
      <c r="H270" s="45"/>
    </row>
    <row r="271" spans="1:8" x14ac:dyDescent="0.25">
      <c r="A271" s="45"/>
      <c r="B271" s="45"/>
      <c r="C271" s="45"/>
      <c r="D271" s="45"/>
      <c r="E271" s="45"/>
      <c r="F271" s="45"/>
      <c r="G271" s="45"/>
      <c r="H271" s="45"/>
    </row>
    <row r="272" spans="1:8" x14ac:dyDescent="0.25">
      <c r="A272" s="45"/>
      <c r="B272" s="45"/>
      <c r="C272" s="45"/>
      <c r="D272" s="45"/>
      <c r="E272" s="45"/>
      <c r="F272" s="45"/>
      <c r="G272" s="45"/>
      <c r="H272" s="45"/>
    </row>
    <row r="273" spans="1:8" x14ac:dyDescent="0.25">
      <c r="A273" s="45"/>
      <c r="B273" s="45"/>
      <c r="C273" s="45"/>
      <c r="D273" s="45"/>
      <c r="E273" s="45"/>
      <c r="F273" s="45"/>
      <c r="G273" s="45"/>
      <c r="H273" s="45"/>
    </row>
    <row r="274" spans="1:8" x14ac:dyDescent="0.25">
      <c r="A274" s="45"/>
      <c r="B274" s="45"/>
      <c r="C274" s="45"/>
      <c r="D274" s="45"/>
      <c r="E274" s="45"/>
      <c r="F274" s="45"/>
      <c r="G274" s="45"/>
      <c r="H274" s="45"/>
    </row>
    <row r="275" spans="1:8" x14ac:dyDescent="0.25">
      <c r="A275" s="45"/>
      <c r="B275" s="45"/>
      <c r="C275" s="45"/>
      <c r="D275" s="45"/>
      <c r="E275" s="45"/>
      <c r="F275" s="45"/>
      <c r="G275" s="45"/>
      <c r="H275" s="45"/>
    </row>
    <row r="276" spans="1:8" x14ac:dyDescent="0.25">
      <c r="A276" s="45"/>
      <c r="B276" s="45"/>
      <c r="C276" s="45"/>
      <c r="D276" s="45"/>
      <c r="E276" s="45"/>
      <c r="F276" s="45"/>
      <c r="G276" s="45"/>
      <c r="H276" s="45"/>
    </row>
    <row r="277" spans="1:8" x14ac:dyDescent="0.25">
      <c r="A277" s="45"/>
      <c r="B277" s="45"/>
      <c r="C277" s="45"/>
      <c r="D277" s="45"/>
      <c r="E277" s="45"/>
      <c r="F277" s="45"/>
      <c r="G277" s="45"/>
      <c r="H277" s="45"/>
    </row>
    <row r="278" spans="1:8" x14ac:dyDescent="0.25">
      <c r="A278" s="45"/>
      <c r="B278" s="45"/>
      <c r="C278" s="45"/>
      <c r="D278" s="45"/>
      <c r="E278" s="45"/>
      <c r="F278" s="45"/>
      <c r="G278" s="45"/>
      <c r="H278" s="45"/>
    </row>
    <row r="279" spans="1:8" x14ac:dyDescent="0.25">
      <c r="A279" s="45"/>
      <c r="B279" s="45"/>
      <c r="C279" s="45"/>
      <c r="D279" s="45"/>
      <c r="E279" s="45"/>
      <c r="F279" s="45"/>
      <c r="G279" s="45"/>
      <c r="H279" s="45"/>
    </row>
    <row r="280" spans="1:8" x14ac:dyDescent="0.25">
      <c r="A280" s="45"/>
      <c r="B280" s="45"/>
      <c r="C280" s="45"/>
      <c r="D280" s="45"/>
      <c r="E280" s="45"/>
      <c r="F280" s="45"/>
      <c r="G280" s="45"/>
      <c r="H280" s="45"/>
    </row>
    <row r="281" spans="1:8" x14ac:dyDescent="0.25">
      <c r="A281" s="45"/>
      <c r="B281" s="45"/>
      <c r="C281" s="45"/>
      <c r="D281" s="45"/>
      <c r="E281" s="45"/>
      <c r="F281" s="45"/>
      <c r="G281" s="45"/>
      <c r="H281" s="45"/>
    </row>
    <row r="282" spans="1:8" x14ac:dyDescent="0.25">
      <c r="A282" s="45"/>
      <c r="B282" s="45"/>
      <c r="C282" s="45"/>
      <c r="D282" s="45"/>
      <c r="E282" s="45"/>
      <c r="F282" s="45"/>
      <c r="G282" s="45"/>
      <c r="H282" s="45"/>
    </row>
    <row r="283" spans="1:8" x14ac:dyDescent="0.25">
      <c r="A283" s="45"/>
      <c r="B283" s="45"/>
      <c r="C283" s="45"/>
      <c r="D283" s="45"/>
      <c r="E283" s="45"/>
      <c r="F283" s="45"/>
      <c r="G283" s="45"/>
      <c r="H283" s="45"/>
    </row>
    <row r="284" spans="1:8" x14ac:dyDescent="0.25">
      <c r="A284" s="45"/>
      <c r="B284" s="45"/>
      <c r="C284" s="45"/>
      <c r="D284" s="45"/>
      <c r="E284" s="45"/>
      <c r="F284" s="45"/>
      <c r="G284" s="45"/>
      <c r="H284" s="45"/>
    </row>
    <row r="285" spans="1:8" x14ac:dyDescent="0.25">
      <c r="A285" s="45"/>
      <c r="B285" s="45"/>
      <c r="C285" s="45"/>
      <c r="D285" s="45"/>
      <c r="E285" s="45"/>
      <c r="F285" s="45"/>
      <c r="G285" s="45"/>
      <c r="H285" s="45"/>
    </row>
    <row r="286" spans="1:8" x14ac:dyDescent="0.25">
      <c r="A286" s="45"/>
      <c r="B286" s="45"/>
      <c r="C286" s="45"/>
      <c r="D286" s="45"/>
      <c r="E286" s="45"/>
      <c r="F286" s="45"/>
      <c r="G286" s="45"/>
      <c r="H286" s="45"/>
    </row>
    <row r="287" spans="1:8" x14ac:dyDescent="0.25">
      <c r="A287" s="45"/>
      <c r="B287" s="45"/>
      <c r="C287" s="45"/>
      <c r="D287" s="45"/>
      <c r="E287" s="45"/>
      <c r="F287" s="45"/>
      <c r="G287" s="45"/>
      <c r="H287" s="45"/>
    </row>
    <row r="288" spans="1:8" x14ac:dyDescent="0.25">
      <c r="A288" s="45"/>
      <c r="B288" s="45"/>
      <c r="C288" s="45"/>
      <c r="D288" s="45"/>
      <c r="E288" s="45"/>
      <c r="F288" s="45"/>
      <c r="G288" s="45"/>
      <c r="H288" s="45"/>
    </row>
    <row r="289" spans="1:10" x14ac:dyDescent="0.25">
      <c r="A289" s="45"/>
      <c r="B289" s="45"/>
      <c r="C289" s="45"/>
      <c r="D289" s="45"/>
      <c r="E289" s="45"/>
      <c r="F289" s="45"/>
      <c r="G289" s="45"/>
      <c r="H289" s="45"/>
    </row>
    <row r="290" spans="1:10" x14ac:dyDescent="0.25">
      <c r="A290" s="45"/>
      <c r="B290" s="45"/>
      <c r="C290" s="45"/>
      <c r="D290" s="45"/>
      <c r="E290" s="45"/>
      <c r="F290" s="45"/>
      <c r="G290" s="45"/>
      <c r="H290" s="45"/>
    </row>
    <row r="291" spans="1:10" s="45" customFormat="1" x14ac:dyDescent="0.25">
      <c r="J291" s="290"/>
    </row>
    <row r="292" spans="1:10" x14ac:dyDescent="0.25"/>
    <row r="293" spans="1:10" x14ac:dyDescent="0.25"/>
    <row r="294" spans="1:10" x14ac:dyDescent="0.25"/>
    <row r="295" spans="1:10" x14ac:dyDescent="0.25"/>
    <row r="296" spans="1:10" x14ac:dyDescent="0.25"/>
    <row r="297" spans="1:10" x14ac:dyDescent="0.25"/>
    <row r="298" spans="1:10" x14ac:dyDescent="0.25"/>
    <row r="299" spans="1:10" x14ac:dyDescent="0.25"/>
  </sheetData>
  <sheetProtection algorithmName="SHA-512" hashValue="5VDD1p34AjwGbOaPg5zFU5L6UZ1dGpG+0z8OlS3narjyDl32kZxxu3ztqmJ7JmXKrES3Z+z6XT2RURQsSj9PbA==" saltValue="fy249fH34mNeic769+bqEQ==" spinCount="100000" sheet="1" insertRows="0"/>
  <mergeCells count="89">
    <mergeCell ref="B94:C94"/>
    <mergeCell ref="B95:C95"/>
    <mergeCell ref="B92:C92"/>
    <mergeCell ref="B105:F105"/>
    <mergeCell ref="F108:G108"/>
    <mergeCell ref="B97:C97"/>
    <mergeCell ref="B108:E108"/>
    <mergeCell ref="B96:C96"/>
    <mergeCell ref="B106:D106"/>
    <mergeCell ref="D72:G72"/>
    <mergeCell ref="B87:C87"/>
    <mergeCell ref="B53:C53"/>
    <mergeCell ref="B83:C83"/>
    <mergeCell ref="B63:C63"/>
    <mergeCell ref="A16:A37"/>
    <mergeCell ref="B26:C26"/>
    <mergeCell ref="B27:C27"/>
    <mergeCell ref="D52:G52"/>
    <mergeCell ref="D62:G62"/>
    <mergeCell ref="B30:C30"/>
    <mergeCell ref="B22:F22"/>
    <mergeCell ref="B25:C25"/>
    <mergeCell ref="A39:A197"/>
    <mergeCell ref="B31:C31"/>
    <mergeCell ref="B32:C32"/>
    <mergeCell ref="B33:C33"/>
    <mergeCell ref="B34:C34"/>
    <mergeCell ref="B72:C72"/>
    <mergeCell ref="B84:C84"/>
    <mergeCell ref="B51:C51"/>
    <mergeCell ref="B88:C88"/>
    <mergeCell ref="B89:C89"/>
    <mergeCell ref="B90:C90"/>
    <mergeCell ref="B93:C93"/>
    <mergeCell ref="B86:C86"/>
    <mergeCell ref="B19:D19"/>
    <mergeCell ref="B4:G4"/>
    <mergeCell ref="B16:F16"/>
    <mergeCell ref="B28:C28"/>
    <mergeCell ref="B29:C29"/>
    <mergeCell ref="C14:F14"/>
    <mergeCell ref="G42:G43"/>
    <mergeCell ref="B150:C150"/>
    <mergeCell ref="B151:C151"/>
    <mergeCell ref="B85:C85"/>
    <mergeCell ref="F131:G135"/>
    <mergeCell ref="B98:C98"/>
    <mergeCell ref="B99:C99"/>
    <mergeCell ref="B100:C100"/>
    <mergeCell ref="B101:C101"/>
    <mergeCell ref="B102:C102"/>
    <mergeCell ref="F130:G130"/>
    <mergeCell ref="F110:G114"/>
    <mergeCell ref="F117:G121"/>
    <mergeCell ref="F124:G128"/>
    <mergeCell ref="F116:G116"/>
    <mergeCell ref="B147:C147"/>
    <mergeCell ref="B2:D2"/>
    <mergeCell ref="B154:E155"/>
    <mergeCell ref="B153:E153"/>
    <mergeCell ref="B103:C103"/>
    <mergeCell ref="B139:C139"/>
    <mergeCell ref="B141:C141"/>
    <mergeCell ref="B142:C142"/>
    <mergeCell ref="B143:C143"/>
    <mergeCell ref="B152:C152"/>
    <mergeCell ref="B148:C148"/>
    <mergeCell ref="B144:C144"/>
    <mergeCell ref="B145:C145"/>
    <mergeCell ref="B146:C146"/>
    <mergeCell ref="B39:C39"/>
    <mergeCell ref="B73:C73"/>
    <mergeCell ref="B36:E36"/>
    <mergeCell ref="B138:C138"/>
    <mergeCell ref="F123:G123"/>
    <mergeCell ref="F109:G109"/>
    <mergeCell ref="B137:E137"/>
    <mergeCell ref="B140:C140"/>
    <mergeCell ref="B251:D255"/>
    <mergeCell ref="A232:C232"/>
    <mergeCell ref="A235:A239"/>
    <mergeCell ref="A241:A248"/>
    <mergeCell ref="B149:C149"/>
    <mergeCell ref="C229:D230"/>
    <mergeCell ref="B208:E208"/>
    <mergeCell ref="E198:G198"/>
    <mergeCell ref="B204:C204"/>
    <mergeCell ref="B205:C205"/>
    <mergeCell ref="B203:C203"/>
  </mergeCells>
  <conditionalFormatting sqref="B106:D106">
    <cfRule type="containsText" dxfId="21" priority="1" operator="containsText" text="Pozor">
      <formula>NOT(ISERROR(SEARCH("Pozor",B106)))</formula>
    </cfRule>
  </conditionalFormatting>
  <conditionalFormatting sqref="B251:D255">
    <cfRule type="containsText" dxfId="20" priority="2" operator="containsText" text="Pokyny_k_vyplnění">
      <formula>NOT(ISERROR(SEARCH("Pokyny_k_vyplnění",B251)))</formula>
    </cfRule>
    <cfRule type="containsText" dxfId="19" priority="3" operator="containsText" text="Výstavba">
      <formula>NOT(ISERROR(SEARCH("Výstavba",B251)))</formula>
    </cfRule>
    <cfRule type="containsText" dxfId="18" priority="4" operator="containsText" text="nesplňuje">
      <formula>NOT(ISERROR(SEARCH("nesplňuje",B251)))</formula>
    </cfRule>
    <cfRule type="containsText" dxfId="17" priority="5" operator="containsText" text="dosahuje">
      <formula>NOT(ISERROR(SEARCH("dosahuje",B251)))</formula>
    </cfRule>
  </conditionalFormatting>
  <conditionalFormatting sqref="C229">
    <cfRule type="expression" dxfId="16" priority="6">
      <formula>ABS($C$225-SUM($C$226:$C$228))&gt;0.1</formula>
    </cfRule>
  </conditionalFormatting>
  <conditionalFormatting sqref="D42:E42">
    <cfRule type="expression" dxfId="15" priority="14">
      <formula>$C$42+$C$43&gt;1</formula>
    </cfRule>
  </conditionalFormatting>
  <conditionalFormatting sqref="D45:E45">
    <cfRule type="expression" dxfId="14" priority="11">
      <formula>$C$45&gt;1</formula>
    </cfRule>
  </conditionalFormatting>
  <conditionalFormatting sqref="E42">
    <cfRule type="expression" dxfId="13" priority="13">
      <formula>$C$42+$C$43&gt;1</formula>
    </cfRule>
  </conditionalFormatting>
  <conditionalFormatting sqref="E45">
    <cfRule type="expression" dxfId="12" priority="12">
      <formula>$C$45&gt;1</formula>
    </cfRule>
  </conditionalFormatting>
  <conditionalFormatting sqref="E198">
    <cfRule type="containsText" dxfId="11" priority="9" operator="containsText" text="Nesoulad">
      <formula>NOT(ISERROR(SEARCH("Nesoulad",E198)))</formula>
    </cfRule>
  </conditionalFormatting>
  <conditionalFormatting sqref="E84:F84">
    <cfRule type="expression" dxfId="10" priority="8">
      <formula>$D$84&gt;1</formula>
    </cfRule>
  </conditionalFormatting>
  <conditionalFormatting sqref="E93:F93">
    <cfRule type="expression" dxfId="9" priority="7">
      <formula>$D$93&gt;1</formula>
    </cfRule>
  </conditionalFormatting>
  <conditionalFormatting sqref="E199:H200 F201:H209 D203:D205 E210:H210">
    <cfRule type="containsText" dxfId="8" priority="18" operator="containsText" text="nesedí">
      <formula>NOT(ISERROR(SEARCH("nesedí",D199)))</formula>
    </cfRule>
    <cfRule type="containsText" dxfId="7" priority="19" operator="containsText" text="OK">
      <formula>NOT(ISERROR(SEARCH("OK",D199)))</formula>
    </cfRule>
  </conditionalFormatting>
  <conditionalFormatting sqref="G42:G43 G45">
    <cfRule type="containsText" dxfId="6" priority="10" operator="containsText" text="nákladovosti">
      <formula>NOT(ISERROR(SEARCH("nákladovosti",G42)))</formula>
    </cfRule>
  </conditionalFormatting>
  <pageMargins left="0.46363636363636362" right="0.7" top="0.56666666666666665" bottom="0.78740157499999996" header="0.3" footer="0.3"/>
  <pageSetup paperSize="9" scale="61" fitToHeight="0" orientation="portrait" r:id="rId1"/>
  <rowBreaks count="4" manualBreakCount="4">
    <brk id="49" min="1" max="7" man="1"/>
    <brk id="91" min="1" max="7" man="1"/>
    <brk id="135" min="1" max="7" man="1"/>
    <brk id="199" min="1" max="7" man="1"/>
  </rowBreaks>
  <colBreaks count="3" manualBreakCount="3">
    <brk id="1" max="1048575" man="1"/>
    <brk id="4" max="281" man="1"/>
    <brk id="8" max="233" man="1"/>
  </colBreaks>
  <ignoredErrors>
    <ignoredError sqref="C220 C215:C216 C219 C221:C222 D6:G6 D5:G5" emptyCellReference="1"/>
    <ignoredError sqref="E217:E224 E226:E228 E213:E216" twoDigitTextYear="1"/>
    <ignoredError sqref="I64:I70 C5:C6"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075" r:id="rId4" name="Drop Down 3">
              <controlPr defaultSize="0" autoLine="0" autoPict="0">
                <anchor moveWithCells="1">
                  <from>
                    <xdr:col>1</xdr:col>
                    <xdr:colOff>0</xdr:colOff>
                    <xdr:row>13</xdr:row>
                    <xdr:rowOff>0</xdr:rowOff>
                  </from>
                  <to>
                    <xdr:col>1</xdr:col>
                    <xdr:colOff>1895475</xdr:colOff>
                    <xdr:row>13</xdr:row>
                    <xdr:rowOff>209550</xdr:rowOff>
                  </to>
                </anchor>
              </controlPr>
            </control>
          </mc:Choice>
        </mc:AlternateContent>
        <mc:AlternateContent xmlns:mc="http://schemas.openxmlformats.org/markup-compatibility/2006">
          <mc:Choice Requires="x14">
            <control shapeId="3076" r:id="rId5" name="Drop Down 4">
              <controlPr defaultSize="0" autoLine="0" autoPict="0">
                <anchor moveWithCells="1">
                  <from>
                    <xdr:col>1</xdr:col>
                    <xdr:colOff>0</xdr:colOff>
                    <xdr:row>16</xdr:row>
                    <xdr:rowOff>0</xdr:rowOff>
                  </from>
                  <to>
                    <xdr:col>2</xdr:col>
                    <xdr:colOff>514350</xdr:colOff>
                    <xdr:row>17</xdr:row>
                    <xdr:rowOff>0</xdr:rowOff>
                  </to>
                </anchor>
              </controlPr>
            </control>
          </mc:Choice>
        </mc:AlternateContent>
        <mc:AlternateContent xmlns:mc="http://schemas.openxmlformats.org/markup-compatibility/2006">
          <mc:Choice Requires="x14">
            <control shapeId="3077" r:id="rId6" name="Drop Down 5">
              <controlPr defaultSize="0" autoLine="0" autoPict="0">
                <anchor moveWithCells="1">
                  <from>
                    <xdr:col>1</xdr:col>
                    <xdr:colOff>19050</xdr:colOff>
                    <xdr:row>19</xdr:row>
                    <xdr:rowOff>19050</xdr:rowOff>
                  </from>
                  <to>
                    <xdr:col>3</xdr:col>
                    <xdr:colOff>1057275</xdr:colOff>
                    <xdr:row>20</xdr:row>
                    <xdr:rowOff>28575</xdr:rowOff>
                  </to>
                </anchor>
              </controlPr>
            </control>
          </mc:Choice>
        </mc:AlternateContent>
        <mc:AlternateContent xmlns:mc="http://schemas.openxmlformats.org/markup-compatibility/2006">
          <mc:Choice Requires="x14">
            <control shapeId="3078" r:id="rId7" name="Drop Down 6">
              <controlPr defaultSize="0" autoLine="0" autoPict="0">
                <anchor moveWithCells="1">
                  <from>
                    <xdr:col>0</xdr:col>
                    <xdr:colOff>171450</xdr:colOff>
                    <xdr:row>22</xdr:row>
                    <xdr:rowOff>19050</xdr:rowOff>
                  </from>
                  <to>
                    <xdr:col>6</xdr:col>
                    <xdr:colOff>0</xdr:colOff>
                    <xdr:row>23</xdr:row>
                    <xdr:rowOff>57150</xdr:rowOff>
                  </to>
                </anchor>
              </controlPr>
            </control>
          </mc:Choice>
        </mc:AlternateContent>
        <mc:AlternateContent xmlns:mc="http://schemas.openxmlformats.org/markup-compatibility/2006">
          <mc:Choice Requires="x14">
            <control shapeId="3104" r:id="rId8" name="Check Box 32">
              <controlPr defaultSize="0" autoFill="0" autoLine="0" autoPict="0">
                <anchor moveWithCells="1">
                  <from>
                    <xdr:col>3</xdr:col>
                    <xdr:colOff>400050</xdr:colOff>
                    <xdr:row>25</xdr:row>
                    <xdr:rowOff>219075</xdr:rowOff>
                  </from>
                  <to>
                    <xdr:col>3</xdr:col>
                    <xdr:colOff>600075</xdr:colOff>
                    <xdr:row>25</xdr:row>
                    <xdr:rowOff>438150</xdr:rowOff>
                  </to>
                </anchor>
              </controlPr>
            </control>
          </mc:Choice>
        </mc:AlternateContent>
        <mc:AlternateContent xmlns:mc="http://schemas.openxmlformats.org/markup-compatibility/2006">
          <mc:Choice Requires="x14">
            <control shapeId="3105" r:id="rId9" name="Check Box 33">
              <controlPr defaultSize="0" autoFill="0" autoLine="0" autoPict="0">
                <anchor moveWithCells="1">
                  <from>
                    <xdr:col>3</xdr:col>
                    <xdr:colOff>400050</xdr:colOff>
                    <xdr:row>26</xdr:row>
                    <xdr:rowOff>295275</xdr:rowOff>
                  </from>
                  <to>
                    <xdr:col>3</xdr:col>
                    <xdr:colOff>609600</xdr:colOff>
                    <xdr:row>26</xdr:row>
                    <xdr:rowOff>438150</xdr:rowOff>
                  </to>
                </anchor>
              </controlPr>
            </control>
          </mc:Choice>
        </mc:AlternateContent>
        <mc:AlternateContent xmlns:mc="http://schemas.openxmlformats.org/markup-compatibility/2006">
          <mc:Choice Requires="x14">
            <control shapeId="3109" r:id="rId10" name="Check Box 37">
              <controlPr defaultSize="0" autoFill="0" autoLine="0" autoPict="0">
                <anchor moveWithCells="1">
                  <from>
                    <xdr:col>3</xdr:col>
                    <xdr:colOff>400050</xdr:colOff>
                    <xdr:row>27</xdr:row>
                    <xdr:rowOff>19050</xdr:rowOff>
                  </from>
                  <to>
                    <xdr:col>3</xdr:col>
                    <xdr:colOff>609600</xdr:colOff>
                    <xdr:row>27</xdr:row>
                    <xdr:rowOff>171450</xdr:rowOff>
                  </to>
                </anchor>
              </controlPr>
            </control>
          </mc:Choice>
        </mc:AlternateContent>
        <mc:AlternateContent xmlns:mc="http://schemas.openxmlformats.org/markup-compatibility/2006">
          <mc:Choice Requires="x14">
            <control shapeId="3110" r:id="rId11" name="Check Box 38">
              <controlPr defaultSize="0" autoFill="0" autoLine="0" autoPict="0">
                <anchor moveWithCells="1">
                  <from>
                    <xdr:col>3</xdr:col>
                    <xdr:colOff>400050</xdr:colOff>
                    <xdr:row>28</xdr:row>
                    <xdr:rowOff>19050</xdr:rowOff>
                  </from>
                  <to>
                    <xdr:col>3</xdr:col>
                    <xdr:colOff>609600</xdr:colOff>
                    <xdr:row>28</xdr:row>
                    <xdr:rowOff>171450</xdr:rowOff>
                  </to>
                </anchor>
              </controlPr>
            </control>
          </mc:Choice>
        </mc:AlternateContent>
        <mc:AlternateContent xmlns:mc="http://schemas.openxmlformats.org/markup-compatibility/2006">
          <mc:Choice Requires="x14">
            <control shapeId="3112" r:id="rId12" name="Check Box 40">
              <controlPr defaultSize="0" autoFill="0" autoLine="0" autoPict="0">
                <anchor moveWithCells="1">
                  <from>
                    <xdr:col>3</xdr:col>
                    <xdr:colOff>400050</xdr:colOff>
                    <xdr:row>29</xdr:row>
                    <xdr:rowOff>19050</xdr:rowOff>
                  </from>
                  <to>
                    <xdr:col>3</xdr:col>
                    <xdr:colOff>609600</xdr:colOff>
                    <xdr:row>29</xdr:row>
                    <xdr:rowOff>152400</xdr:rowOff>
                  </to>
                </anchor>
              </controlPr>
            </control>
          </mc:Choice>
        </mc:AlternateContent>
        <mc:AlternateContent xmlns:mc="http://schemas.openxmlformats.org/markup-compatibility/2006">
          <mc:Choice Requires="x14">
            <control shapeId="3113" r:id="rId13" name="Check Box 41">
              <controlPr defaultSize="0" autoFill="0" autoLine="0" autoPict="0">
                <anchor moveWithCells="1">
                  <from>
                    <xdr:col>3</xdr:col>
                    <xdr:colOff>400050</xdr:colOff>
                    <xdr:row>30</xdr:row>
                    <xdr:rowOff>19050</xdr:rowOff>
                  </from>
                  <to>
                    <xdr:col>3</xdr:col>
                    <xdr:colOff>609600</xdr:colOff>
                    <xdr:row>30</xdr:row>
                    <xdr:rowOff>152400</xdr:rowOff>
                  </to>
                </anchor>
              </controlPr>
            </control>
          </mc:Choice>
        </mc:AlternateContent>
        <mc:AlternateContent xmlns:mc="http://schemas.openxmlformats.org/markup-compatibility/2006">
          <mc:Choice Requires="x14">
            <control shapeId="3114" r:id="rId14" name="Check Box 42">
              <controlPr defaultSize="0" autoFill="0" autoLine="0" autoPict="0">
                <anchor moveWithCells="1">
                  <from>
                    <xdr:col>3</xdr:col>
                    <xdr:colOff>400050</xdr:colOff>
                    <xdr:row>31</xdr:row>
                    <xdr:rowOff>19050</xdr:rowOff>
                  </from>
                  <to>
                    <xdr:col>3</xdr:col>
                    <xdr:colOff>609600</xdr:colOff>
                    <xdr:row>31</xdr:row>
                    <xdr:rowOff>171450</xdr:rowOff>
                  </to>
                </anchor>
              </controlPr>
            </control>
          </mc:Choice>
        </mc:AlternateContent>
        <mc:AlternateContent xmlns:mc="http://schemas.openxmlformats.org/markup-compatibility/2006">
          <mc:Choice Requires="x14">
            <control shapeId="3115" r:id="rId15" name="Check Box 43">
              <controlPr defaultSize="0" autoFill="0" autoLine="0" autoPict="0">
                <anchor moveWithCells="1">
                  <from>
                    <xdr:col>3</xdr:col>
                    <xdr:colOff>400050</xdr:colOff>
                    <xdr:row>32</xdr:row>
                    <xdr:rowOff>19050</xdr:rowOff>
                  </from>
                  <to>
                    <xdr:col>3</xdr:col>
                    <xdr:colOff>609600</xdr:colOff>
                    <xdr:row>32</xdr:row>
                    <xdr:rowOff>171450</xdr:rowOff>
                  </to>
                </anchor>
              </controlPr>
            </control>
          </mc:Choice>
        </mc:AlternateContent>
        <mc:AlternateContent xmlns:mc="http://schemas.openxmlformats.org/markup-compatibility/2006">
          <mc:Choice Requires="x14">
            <control shapeId="3116" r:id="rId16" name="Check Box 44">
              <controlPr defaultSize="0" autoFill="0" autoLine="0" autoPict="0">
                <anchor moveWithCells="1">
                  <from>
                    <xdr:col>3</xdr:col>
                    <xdr:colOff>400050</xdr:colOff>
                    <xdr:row>33</xdr:row>
                    <xdr:rowOff>19050</xdr:rowOff>
                  </from>
                  <to>
                    <xdr:col>3</xdr:col>
                    <xdr:colOff>609600</xdr:colOff>
                    <xdr:row>33</xdr:row>
                    <xdr:rowOff>171450</xdr:rowOff>
                  </to>
                </anchor>
              </controlPr>
            </control>
          </mc:Choice>
        </mc:AlternateContent>
        <mc:AlternateContent xmlns:mc="http://schemas.openxmlformats.org/markup-compatibility/2006">
          <mc:Choice Requires="x14">
            <control shapeId="3117" r:id="rId17" name="Check Box 45">
              <controlPr defaultSize="0" autoFill="0" autoLine="0" autoPict="0">
                <anchor moveWithCells="1">
                  <from>
                    <xdr:col>1</xdr:col>
                    <xdr:colOff>1552575</xdr:colOff>
                    <xdr:row>24</xdr:row>
                    <xdr:rowOff>28575</xdr:rowOff>
                  </from>
                  <to>
                    <xdr:col>1</xdr:col>
                    <xdr:colOff>1771650</xdr:colOff>
                    <xdr:row>24</xdr:row>
                    <xdr:rowOff>180975</xdr:rowOff>
                  </to>
                </anchor>
              </controlPr>
            </control>
          </mc:Choice>
        </mc:AlternateContent>
        <mc:AlternateContent xmlns:mc="http://schemas.openxmlformats.org/markup-compatibility/2006">
          <mc:Choice Requires="x14">
            <control shapeId="3119" r:id="rId18" name="Drop Down 47">
              <controlPr defaultSize="0" autoLine="0" autoPict="0">
                <anchor moveWithCells="1">
                  <from>
                    <xdr:col>1</xdr:col>
                    <xdr:colOff>19050</xdr:colOff>
                    <xdr:row>36</xdr:row>
                    <xdr:rowOff>19050</xdr:rowOff>
                  </from>
                  <to>
                    <xdr:col>1</xdr:col>
                    <xdr:colOff>1943100</xdr:colOff>
                    <xdr:row>37</xdr:row>
                    <xdr:rowOff>19050</xdr:rowOff>
                  </to>
                </anchor>
              </controlPr>
            </control>
          </mc:Choice>
        </mc:AlternateContent>
        <mc:AlternateContent xmlns:mc="http://schemas.openxmlformats.org/markup-compatibility/2006">
          <mc:Choice Requires="x14">
            <control shapeId="3120" r:id="rId19" name="Drop Down 48">
              <controlPr defaultSize="0" autoLine="0" autoPict="0">
                <anchor moveWithCells="1">
                  <from>
                    <xdr:col>0</xdr:col>
                    <xdr:colOff>171450</xdr:colOff>
                    <xdr:row>8</xdr:row>
                    <xdr:rowOff>0</xdr:rowOff>
                  </from>
                  <to>
                    <xdr:col>4</xdr:col>
                    <xdr:colOff>552450</xdr:colOff>
                    <xdr:row>9</xdr:row>
                    <xdr:rowOff>19050</xdr:rowOff>
                  </to>
                </anchor>
              </controlPr>
            </control>
          </mc:Choice>
        </mc:AlternateContent>
        <mc:AlternateContent xmlns:mc="http://schemas.openxmlformats.org/markup-compatibility/2006">
          <mc:Choice Requires="x14">
            <control shapeId="3127" r:id="rId20" name="Drop Down 55">
              <controlPr defaultSize="0" autoLine="0" autoPict="0">
                <anchor moveWithCells="1">
                  <from>
                    <xdr:col>0</xdr:col>
                    <xdr:colOff>171450</xdr:colOff>
                    <xdr:row>9</xdr:row>
                    <xdr:rowOff>19050</xdr:rowOff>
                  </from>
                  <to>
                    <xdr:col>4</xdr:col>
                    <xdr:colOff>552450</xdr:colOff>
                    <xdr:row>10</xdr:row>
                    <xdr:rowOff>0</xdr:rowOff>
                  </to>
                </anchor>
              </controlPr>
            </control>
          </mc:Choice>
        </mc:AlternateContent>
        <mc:AlternateContent xmlns:mc="http://schemas.openxmlformats.org/markup-compatibility/2006">
          <mc:Choice Requires="x14">
            <control shapeId="3128" r:id="rId21" name="Drop Down 56">
              <controlPr defaultSize="0" autoLine="0" autoPict="0">
                <anchor moveWithCells="1">
                  <from>
                    <xdr:col>0</xdr:col>
                    <xdr:colOff>171450</xdr:colOff>
                    <xdr:row>9</xdr:row>
                    <xdr:rowOff>219075</xdr:rowOff>
                  </from>
                  <to>
                    <xdr:col>4</xdr:col>
                    <xdr:colOff>552450</xdr:colOff>
                    <xdr:row>10</xdr:row>
                    <xdr:rowOff>209550</xdr:rowOff>
                  </to>
                </anchor>
              </controlPr>
            </control>
          </mc:Choice>
        </mc:AlternateContent>
        <mc:AlternateContent xmlns:mc="http://schemas.openxmlformats.org/markup-compatibility/2006">
          <mc:Choice Requires="x14">
            <control shapeId="3139" r:id="rId22" name="Drop Down 67">
              <controlPr defaultSize="0" autoLine="0" autoPict="0">
                <anchor moveWithCells="1">
                  <from>
                    <xdr:col>1</xdr:col>
                    <xdr:colOff>0</xdr:colOff>
                    <xdr:row>104</xdr:row>
                    <xdr:rowOff>19050</xdr:rowOff>
                  </from>
                  <to>
                    <xdr:col>7</xdr:col>
                    <xdr:colOff>0</xdr:colOff>
                    <xdr:row>105</xdr:row>
                    <xdr:rowOff>0</xdr:rowOff>
                  </to>
                </anchor>
              </controlPr>
            </control>
          </mc:Choice>
        </mc:AlternateContent>
        <mc:AlternateContent xmlns:mc="http://schemas.openxmlformats.org/markup-compatibility/2006">
          <mc:Choice Requires="x14">
            <control shapeId="3143" r:id="rId23" name="Group Box 71">
              <controlPr defaultSize="0" autoFill="0" autoPict="0">
                <anchor moveWithCells="1">
                  <from>
                    <xdr:col>5</xdr:col>
                    <xdr:colOff>0</xdr:colOff>
                    <xdr:row>108</xdr:row>
                    <xdr:rowOff>381000</xdr:rowOff>
                  </from>
                  <to>
                    <xdr:col>6</xdr:col>
                    <xdr:colOff>1724025</xdr:colOff>
                    <xdr:row>114</xdr:row>
                    <xdr:rowOff>0</xdr:rowOff>
                  </to>
                </anchor>
              </controlPr>
            </control>
          </mc:Choice>
        </mc:AlternateContent>
        <mc:AlternateContent xmlns:mc="http://schemas.openxmlformats.org/markup-compatibility/2006">
          <mc:Choice Requires="x14">
            <control shapeId="3144" r:id="rId24" name="Group Box 72">
              <controlPr defaultSize="0" autoFill="0" autoPict="0">
                <anchor moveWithCells="1">
                  <from>
                    <xdr:col>4</xdr:col>
                    <xdr:colOff>1295400</xdr:colOff>
                    <xdr:row>116</xdr:row>
                    <xdr:rowOff>19050</xdr:rowOff>
                  </from>
                  <to>
                    <xdr:col>6</xdr:col>
                    <xdr:colOff>1733550</xdr:colOff>
                    <xdr:row>121</xdr:row>
                    <xdr:rowOff>0</xdr:rowOff>
                  </to>
                </anchor>
              </controlPr>
            </control>
          </mc:Choice>
        </mc:AlternateContent>
        <mc:AlternateContent xmlns:mc="http://schemas.openxmlformats.org/markup-compatibility/2006">
          <mc:Choice Requires="x14">
            <control shapeId="3145" r:id="rId25" name="Group Box 73">
              <controlPr defaultSize="0" autoFill="0" autoPict="0">
                <anchor moveWithCells="1">
                  <from>
                    <xdr:col>5</xdr:col>
                    <xdr:colOff>0</xdr:colOff>
                    <xdr:row>123</xdr:row>
                    <xdr:rowOff>19050</xdr:rowOff>
                  </from>
                  <to>
                    <xdr:col>6</xdr:col>
                    <xdr:colOff>1733550</xdr:colOff>
                    <xdr:row>128</xdr:row>
                    <xdr:rowOff>0</xdr:rowOff>
                  </to>
                </anchor>
              </controlPr>
            </control>
          </mc:Choice>
        </mc:AlternateContent>
        <mc:AlternateContent xmlns:mc="http://schemas.openxmlformats.org/markup-compatibility/2006">
          <mc:Choice Requires="x14">
            <control shapeId="3146" r:id="rId26" name="Group Box 74">
              <controlPr defaultSize="0" autoFill="0" autoPict="0">
                <anchor moveWithCells="1">
                  <from>
                    <xdr:col>5</xdr:col>
                    <xdr:colOff>19050</xdr:colOff>
                    <xdr:row>130</xdr:row>
                    <xdr:rowOff>19050</xdr:rowOff>
                  </from>
                  <to>
                    <xdr:col>7</xdr:col>
                    <xdr:colOff>0</xdr:colOff>
                    <xdr:row>135</xdr:row>
                    <xdr:rowOff>0</xdr:rowOff>
                  </to>
                </anchor>
              </controlPr>
            </control>
          </mc:Choice>
        </mc:AlternateContent>
        <mc:AlternateContent xmlns:mc="http://schemas.openxmlformats.org/markup-compatibility/2006">
          <mc:Choice Requires="x14">
            <control shapeId="3147" r:id="rId27" name="Option Button 75">
              <controlPr defaultSize="0" autoFill="0" autoLine="0" autoPict="0">
                <anchor moveWithCells="1">
                  <from>
                    <xdr:col>5</xdr:col>
                    <xdr:colOff>266700</xdr:colOff>
                    <xdr:row>110</xdr:row>
                    <xdr:rowOff>209550</xdr:rowOff>
                  </from>
                  <to>
                    <xdr:col>5</xdr:col>
                    <xdr:colOff>857250</xdr:colOff>
                    <xdr:row>111</xdr:row>
                    <xdr:rowOff>180975</xdr:rowOff>
                  </to>
                </anchor>
              </controlPr>
            </control>
          </mc:Choice>
        </mc:AlternateContent>
        <mc:AlternateContent xmlns:mc="http://schemas.openxmlformats.org/markup-compatibility/2006">
          <mc:Choice Requires="x14">
            <control shapeId="3148" r:id="rId28" name="Option Button 76">
              <controlPr defaultSize="0" autoFill="0" autoLine="0" autoPict="0">
                <anchor moveWithCells="1">
                  <from>
                    <xdr:col>6</xdr:col>
                    <xdr:colOff>133350</xdr:colOff>
                    <xdr:row>110</xdr:row>
                    <xdr:rowOff>209550</xdr:rowOff>
                  </from>
                  <to>
                    <xdr:col>6</xdr:col>
                    <xdr:colOff>752475</xdr:colOff>
                    <xdr:row>111</xdr:row>
                    <xdr:rowOff>180975</xdr:rowOff>
                  </to>
                </anchor>
              </controlPr>
            </control>
          </mc:Choice>
        </mc:AlternateContent>
        <mc:AlternateContent xmlns:mc="http://schemas.openxmlformats.org/markup-compatibility/2006">
          <mc:Choice Requires="x14">
            <control shapeId="3149" r:id="rId29" name="Option Button 77">
              <controlPr defaultSize="0" autoFill="0" autoLine="0" autoPict="0">
                <anchor moveWithCells="1">
                  <from>
                    <xdr:col>6</xdr:col>
                    <xdr:colOff>800100</xdr:colOff>
                    <xdr:row>110</xdr:row>
                    <xdr:rowOff>180975</xdr:rowOff>
                  </from>
                  <to>
                    <xdr:col>6</xdr:col>
                    <xdr:colOff>1295400</xdr:colOff>
                    <xdr:row>111</xdr:row>
                    <xdr:rowOff>190500</xdr:rowOff>
                  </to>
                </anchor>
              </controlPr>
            </control>
          </mc:Choice>
        </mc:AlternateContent>
        <mc:AlternateContent xmlns:mc="http://schemas.openxmlformats.org/markup-compatibility/2006">
          <mc:Choice Requires="x14">
            <control shapeId="3150" r:id="rId30" name="Option Button 78">
              <controlPr defaultSize="0" autoFill="0" autoLine="0" autoPict="0">
                <anchor moveWithCells="1">
                  <from>
                    <xdr:col>5</xdr:col>
                    <xdr:colOff>247650</xdr:colOff>
                    <xdr:row>117</xdr:row>
                    <xdr:rowOff>171450</xdr:rowOff>
                  </from>
                  <to>
                    <xdr:col>5</xdr:col>
                    <xdr:colOff>742950</xdr:colOff>
                    <xdr:row>119</xdr:row>
                    <xdr:rowOff>0</xdr:rowOff>
                  </to>
                </anchor>
              </controlPr>
            </control>
          </mc:Choice>
        </mc:AlternateContent>
        <mc:AlternateContent xmlns:mc="http://schemas.openxmlformats.org/markup-compatibility/2006">
          <mc:Choice Requires="x14">
            <control shapeId="3151" r:id="rId31" name="Option Button 79">
              <controlPr defaultSize="0" autoFill="0" autoLine="0" autoPict="0">
                <anchor moveWithCells="1">
                  <from>
                    <xdr:col>6</xdr:col>
                    <xdr:colOff>95250</xdr:colOff>
                    <xdr:row>117</xdr:row>
                    <xdr:rowOff>171450</xdr:rowOff>
                  </from>
                  <to>
                    <xdr:col>6</xdr:col>
                    <xdr:colOff>600075</xdr:colOff>
                    <xdr:row>119</xdr:row>
                    <xdr:rowOff>0</xdr:rowOff>
                  </to>
                </anchor>
              </controlPr>
            </control>
          </mc:Choice>
        </mc:AlternateContent>
        <mc:AlternateContent xmlns:mc="http://schemas.openxmlformats.org/markup-compatibility/2006">
          <mc:Choice Requires="x14">
            <control shapeId="3152" r:id="rId32" name="Option Button 80">
              <controlPr defaultSize="0" autoFill="0" autoLine="0" autoPict="0">
                <anchor moveWithCells="1">
                  <from>
                    <xdr:col>6</xdr:col>
                    <xdr:colOff>781050</xdr:colOff>
                    <xdr:row>117</xdr:row>
                    <xdr:rowOff>171450</xdr:rowOff>
                  </from>
                  <to>
                    <xdr:col>6</xdr:col>
                    <xdr:colOff>1238250</xdr:colOff>
                    <xdr:row>119</xdr:row>
                    <xdr:rowOff>0</xdr:rowOff>
                  </to>
                </anchor>
              </controlPr>
            </control>
          </mc:Choice>
        </mc:AlternateContent>
        <mc:AlternateContent xmlns:mc="http://schemas.openxmlformats.org/markup-compatibility/2006">
          <mc:Choice Requires="x14">
            <control shapeId="3153" r:id="rId33" name="Option Button 81">
              <controlPr defaultSize="0" autoFill="0" autoLine="0" autoPict="0">
                <anchor moveWithCells="1">
                  <from>
                    <xdr:col>5</xdr:col>
                    <xdr:colOff>247650</xdr:colOff>
                    <xdr:row>125</xdr:row>
                    <xdr:rowOff>0</xdr:rowOff>
                  </from>
                  <to>
                    <xdr:col>5</xdr:col>
                    <xdr:colOff>828675</xdr:colOff>
                    <xdr:row>126</xdr:row>
                    <xdr:rowOff>19050</xdr:rowOff>
                  </to>
                </anchor>
              </controlPr>
            </control>
          </mc:Choice>
        </mc:AlternateContent>
        <mc:AlternateContent xmlns:mc="http://schemas.openxmlformats.org/markup-compatibility/2006">
          <mc:Choice Requires="x14">
            <control shapeId="3154" r:id="rId34" name="Option Button 82">
              <controlPr defaultSize="0" autoFill="0" autoLine="0" autoPict="0">
                <anchor moveWithCells="1">
                  <from>
                    <xdr:col>6</xdr:col>
                    <xdr:colOff>95250</xdr:colOff>
                    <xdr:row>124</xdr:row>
                    <xdr:rowOff>180975</xdr:rowOff>
                  </from>
                  <to>
                    <xdr:col>6</xdr:col>
                    <xdr:colOff>723900</xdr:colOff>
                    <xdr:row>126</xdr:row>
                    <xdr:rowOff>19050</xdr:rowOff>
                  </to>
                </anchor>
              </controlPr>
            </control>
          </mc:Choice>
        </mc:AlternateContent>
        <mc:AlternateContent xmlns:mc="http://schemas.openxmlformats.org/markup-compatibility/2006">
          <mc:Choice Requires="x14">
            <control shapeId="3156" r:id="rId35" name="Option Button 84">
              <controlPr defaultSize="0" autoFill="0" autoLine="0" autoPict="0">
                <anchor moveWithCells="1">
                  <from>
                    <xdr:col>5</xdr:col>
                    <xdr:colOff>285750</xdr:colOff>
                    <xdr:row>132</xdr:row>
                    <xdr:rowOff>19050</xdr:rowOff>
                  </from>
                  <to>
                    <xdr:col>5</xdr:col>
                    <xdr:colOff>866775</xdr:colOff>
                    <xdr:row>133</xdr:row>
                    <xdr:rowOff>28575</xdr:rowOff>
                  </to>
                </anchor>
              </controlPr>
            </control>
          </mc:Choice>
        </mc:AlternateContent>
        <mc:AlternateContent xmlns:mc="http://schemas.openxmlformats.org/markup-compatibility/2006">
          <mc:Choice Requires="x14">
            <control shapeId="3157" r:id="rId36" name="Option Button 85">
              <controlPr defaultSize="0" autoFill="0" autoLine="0" autoPict="0">
                <anchor moveWithCells="1">
                  <from>
                    <xdr:col>6</xdr:col>
                    <xdr:colOff>133350</xdr:colOff>
                    <xdr:row>132</xdr:row>
                    <xdr:rowOff>19050</xdr:rowOff>
                  </from>
                  <to>
                    <xdr:col>6</xdr:col>
                    <xdr:colOff>762000</xdr:colOff>
                    <xdr:row>133</xdr:row>
                    <xdr:rowOff>28575</xdr:rowOff>
                  </to>
                </anchor>
              </controlPr>
            </control>
          </mc:Choice>
        </mc:AlternateContent>
        <mc:AlternateContent xmlns:mc="http://schemas.openxmlformats.org/markup-compatibility/2006">
          <mc:Choice Requires="x14">
            <control shapeId="3163" r:id="rId37" name="Group Box 91">
              <controlPr defaultSize="0" autoFill="0" autoPict="0">
                <anchor moveWithCells="1">
                  <from>
                    <xdr:col>2</xdr:col>
                    <xdr:colOff>0</xdr:colOff>
                    <xdr:row>199</xdr:row>
                    <xdr:rowOff>209550</xdr:rowOff>
                  </from>
                  <to>
                    <xdr:col>3</xdr:col>
                    <xdr:colOff>0</xdr:colOff>
                    <xdr:row>201</xdr:row>
                    <xdr:rowOff>19050</xdr:rowOff>
                  </to>
                </anchor>
              </controlPr>
            </control>
          </mc:Choice>
        </mc:AlternateContent>
        <mc:AlternateContent xmlns:mc="http://schemas.openxmlformats.org/markup-compatibility/2006">
          <mc:Choice Requires="x14">
            <control shapeId="3164" r:id="rId38" name="Option Button 92">
              <controlPr defaultSize="0" autoFill="0" autoLine="0" autoPict="0">
                <anchor moveWithCells="1">
                  <from>
                    <xdr:col>2</xdr:col>
                    <xdr:colOff>257175</xdr:colOff>
                    <xdr:row>200</xdr:row>
                    <xdr:rowOff>57150</xdr:rowOff>
                  </from>
                  <to>
                    <xdr:col>2</xdr:col>
                    <xdr:colOff>781050</xdr:colOff>
                    <xdr:row>201</xdr:row>
                    <xdr:rowOff>0</xdr:rowOff>
                  </to>
                </anchor>
              </controlPr>
            </control>
          </mc:Choice>
        </mc:AlternateContent>
        <mc:AlternateContent xmlns:mc="http://schemas.openxmlformats.org/markup-compatibility/2006">
          <mc:Choice Requires="x14">
            <control shapeId="3165" r:id="rId39" name="Option Button 93">
              <controlPr defaultSize="0" autoFill="0" autoLine="0" autoPict="0">
                <anchor moveWithCells="1">
                  <from>
                    <xdr:col>2</xdr:col>
                    <xdr:colOff>857250</xdr:colOff>
                    <xdr:row>200</xdr:row>
                    <xdr:rowOff>57150</xdr:rowOff>
                  </from>
                  <to>
                    <xdr:col>2</xdr:col>
                    <xdr:colOff>1285875</xdr:colOff>
                    <xdr:row>201</xdr:row>
                    <xdr:rowOff>0</xdr:rowOff>
                  </to>
                </anchor>
              </controlPr>
            </control>
          </mc:Choice>
        </mc:AlternateContent>
        <mc:AlternateContent xmlns:mc="http://schemas.openxmlformats.org/markup-compatibility/2006">
          <mc:Choice Requires="x14">
            <control shapeId="3175" r:id="rId40" name="Option Button 103">
              <controlPr defaultSize="0" autoFill="0" autoLine="0" autoPict="0">
                <anchor moveWithCells="1">
                  <from>
                    <xdr:col>6</xdr:col>
                    <xdr:colOff>781050</xdr:colOff>
                    <xdr:row>124</xdr:row>
                    <xdr:rowOff>180975</xdr:rowOff>
                  </from>
                  <to>
                    <xdr:col>6</xdr:col>
                    <xdr:colOff>1257300</xdr:colOff>
                    <xdr:row>126</xdr:row>
                    <xdr:rowOff>19050</xdr:rowOff>
                  </to>
                </anchor>
              </controlPr>
            </control>
          </mc:Choice>
        </mc:AlternateContent>
        <mc:AlternateContent xmlns:mc="http://schemas.openxmlformats.org/markup-compatibility/2006">
          <mc:Choice Requires="x14">
            <control shapeId="3176" r:id="rId41" name="Option Button 104">
              <controlPr defaultSize="0" autoFill="0" autoLine="0" autoPict="0">
                <anchor moveWithCells="1">
                  <from>
                    <xdr:col>6</xdr:col>
                    <xdr:colOff>819150</xdr:colOff>
                    <xdr:row>131</xdr:row>
                    <xdr:rowOff>180975</xdr:rowOff>
                  </from>
                  <to>
                    <xdr:col>6</xdr:col>
                    <xdr:colOff>1333500</xdr:colOff>
                    <xdr:row>133</xdr:row>
                    <xdr:rowOff>57150</xdr:rowOff>
                  </to>
                </anchor>
              </controlPr>
            </control>
          </mc:Choice>
        </mc:AlternateContent>
        <mc:AlternateContent xmlns:mc="http://schemas.openxmlformats.org/markup-compatibility/2006">
          <mc:Choice Requires="x14">
            <control shapeId="3181" r:id="rId42" name="Check Box 109">
              <controlPr defaultSize="0" autoFill="0" autoLine="0" autoPict="0">
                <anchor moveWithCells="1">
                  <from>
                    <xdr:col>1</xdr:col>
                    <xdr:colOff>2114550</xdr:colOff>
                    <xdr:row>201</xdr:row>
                    <xdr:rowOff>133350</xdr:rowOff>
                  </from>
                  <to>
                    <xdr:col>1</xdr:col>
                    <xdr:colOff>2514600</xdr:colOff>
                    <xdr:row>203</xdr:row>
                    <xdr:rowOff>95250</xdr:rowOff>
                  </to>
                </anchor>
              </controlPr>
            </control>
          </mc:Choice>
        </mc:AlternateContent>
        <mc:AlternateContent xmlns:mc="http://schemas.openxmlformats.org/markup-compatibility/2006">
          <mc:Choice Requires="x14">
            <control shapeId="3182" r:id="rId43" name="Check Box 110">
              <controlPr defaultSize="0" autoFill="0" autoLine="0" autoPict="0">
                <anchor moveWithCells="1">
                  <from>
                    <xdr:col>3</xdr:col>
                    <xdr:colOff>476250</xdr:colOff>
                    <xdr:row>203</xdr:row>
                    <xdr:rowOff>66675</xdr:rowOff>
                  </from>
                  <to>
                    <xdr:col>3</xdr:col>
                    <xdr:colOff>895350</xdr:colOff>
                    <xdr:row>203</xdr:row>
                    <xdr:rowOff>333375</xdr:rowOff>
                  </to>
                </anchor>
              </controlPr>
            </control>
          </mc:Choice>
        </mc:AlternateContent>
        <mc:AlternateContent xmlns:mc="http://schemas.openxmlformats.org/markup-compatibility/2006">
          <mc:Choice Requires="x14">
            <control shapeId="3183" r:id="rId44" name="Check Box 111">
              <controlPr defaultSize="0" autoFill="0" autoLine="0" autoPict="0">
                <anchor moveWithCells="1">
                  <from>
                    <xdr:col>3</xdr:col>
                    <xdr:colOff>485775</xdr:colOff>
                    <xdr:row>204</xdr:row>
                    <xdr:rowOff>0</xdr:rowOff>
                  </from>
                  <to>
                    <xdr:col>3</xdr:col>
                    <xdr:colOff>1095375</xdr:colOff>
                    <xdr:row>204</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200-000000000000}">
          <x14:formula1>
            <xm:f>'zdroj#1'!$N$47:$N$50</xm:f>
          </x14:formula1>
          <xm:sqref>E42 E45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6"/>
  <dimension ref="A1:AK76"/>
  <sheetViews>
    <sheetView topLeftCell="G34" zoomScale="85" zoomScaleNormal="85" workbookViewId="0">
      <selection activeCell="I65" sqref="I65"/>
    </sheetView>
  </sheetViews>
  <sheetFormatPr defaultRowHeight="15" x14ac:dyDescent="0.25"/>
  <cols>
    <col min="1" max="1" width="11.7109375" bestFit="1" customWidth="1"/>
    <col min="2" max="2" width="13.28515625" customWidth="1"/>
    <col min="3" max="3" width="10.28515625" bestFit="1" customWidth="1"/>
    <col min="8" max="8" width="12.42578125" customWidth="1"/>
    <col min="9" max="9" width="14.7109375" customWidth="1"/>
    <col min="12" max="12" width="11.7109375" bestFit="1" customWidth="1"/>
    <col min="14" max="14" width="17.28515625" customWidth="1"/>
    <col min="15" max="15" width="10.5703125" customWidth="1"/>
    <col min="19" max="19" width="11.7109375" customWidth="1"/>
    <col min="20" max="20" width="11.7109375" bestFit="1" customWidth="1"/>
  </cols>
  <sheetData>
    <row r="1" spans="1:20" x14ac:dyDescent="0.25">
      <c r="A1">
        <v>2</v>
      </c>
      <c r="B1" t="s">
        <v>0</v>
      </c>
      <c r="G1">
        <v>5</v>
      </c>
      <c r="H1" t="s">
        <v>27</v>
      </c>
      <c r="J1">
        <v>2</v>
      </c>
      <c r="K1" t="s">
        <v>231</v>
      </c>
      <c r="L1" t="s">
        <v>362</v>
      </c>
      <c r="M1" t="s">
        <v>363</v>
      </c>
    </row>
    <row r="2" spans="1:20" x14ac:dyDescent="0.25">
      <c r="B2" t="s">
        <v>1</v>
      </c>
      <c r="G2" s="6">
        <f>CHOOSE(G1,"Irelevantní",10,7,5,3,1,"Irelevantní")</f>
        <v>3</v>
      </c>
      <c r="H2" s="1" t="s">
        <v>23</v>
      </c>
      <c r="J2">
        <v>1</v>
      </c>
      <c r="K2" s="2" t="s">
        <v>350</v>
      </c>
      <c r="L2" s="2" t="s">
        <v>350</v>
      </c>
      <c r="M2" s="2" t="s">
        <v>350</v>
      </c>
    </row>
    <row r="3" spans="1:20" x14ac:dyDescent="0.25">
      <c r="B3" t="s">
        <v>3</v>
      </c>
      <c r="H3" s="1" t="s">
        <v>26</v>
      </c>
      <c r="J3">
        <v>1</v>
      </c>
      <c r="K3" s="3" t="s">
        <v>28</v>
      </c>
      <c r="L3" s="3" t="s">
        <v>28</v>
      </c>
      <c r="M3" s="3" t="s">
        <v>28</v>
      </c>
    </row>
    <row r="4" spans="1:20" x14ac:dyDescent="0.25">
      <c r="B4" t="s">
        <v>2</v>
      </c>
      <c r="H4" s="1" t="s">
        <v>248</v>
      </c>
      <c r="K4" s="3" t="s">
        <v>29</v>
      </c>
      <c r="L4" s="3" t="s">
        <v>29</v>
      </c>
      <c r="M4" s="3" t="s">
        <v>29</v>
      </c>
    </row>
    <row r="5" spans="1:20" x14ac:dyDescent="0.25">
      <c r="H5" s="1" t="s">
        <v>24</v>
      </c>
      <c r="K5" s="3"/>
    </row>
    <row r="6" spans="1:20" x14ac:dyDescent="0.25">
      <c r="A6">
        <v>2</v>
      </c>
      <c r="B6" t="s">
        <v>8</v>
      </c>
      <c r="H6" s="1" t="s">
        <v>25</v>
      </c>
      <c r="K6" s="4"/>
    </row>
    <row r="7" spans="1:20" x14ac:dyDescent="0.25">
      <c r="A7" s="6">
        <f>CHOOSE(A6,"Nevyplněno",10,8,5,1)</f>
        <v>10</v>
      </c>
      <c r="B7" t="s">
        <v>4</v>
      </c>
      <c r="H7" s="1" t="s">
        <v>12</v>
      </c>
      <c r="J7" s="6" t="str">
        <f>CHOOSE(J1,"vybete Opatření #1 na listě Projekt#1",K2,K3,K4)</f>
        <v>1.4.1 Dobudování a výstavba čistíren odpadních vod; dobudování a výstavba kanalizací</v>
      </c>
      <c r="K7" s="6" t="str">
        <f>CHOOSE(J1,K1,K2,K3,K4)</f>
        <v>1.4.1 Dobudování a výstavba čistíren odpadních vod; dobudování a výstavba kanalizací</v>
      </c>
      <c r="N7" s="6" t="str">
        <f>IF(K7=K1,"#1 Nevybráno",K7)</f>
        <v>1.4.1 Dobudování a výstavba čistíren odpadních vod; dobudování a výstavba kanalizací</v>
      </c>
    </row>
    <row r="8" spans="1:20" x14ac:dyDescent="0.25">
      <c r="B8" t="s">
        <v>5</v>
      </c>
      <c r="J8" s="6" t="str">
        <f>CHOOSE(J2,"vybete Opatření #2 na listě Projekt#1 je-li relevantní",K2,K3,K4)</f>
        <v>vybete Opatření #2 na listě Projekt#1 je-li relevantní</v>
      </c>
      <c r="K8" s="6" t="str">
        <f>CHOOSE(J2,L1,K2,K3,K4)</f>
        <v>vybete Opatření #2 je-li relevantní</v>
      </c>
      <c r="N8" s="6" t="str">
        <f>IF(K8=L1,"",K8)</f>
        <v/>
      </c>
    </row>
    <row r="9" spans="1:20" x14ac:dyDescent="0.25">
      <c r="B9" t="s">
        <v>6</v>
      </c>
      <c r="J9" s="6" t="str">
        <f>CHOOSE(J3,"vybete Opatření #3 na listě Projekt#1 je-li relevantní",K2,K3,K4)</f>
        <v>vybete Opatření #3 na listě Projekt#1 je-li relevantní</v>
      </c>
      <c r="K9" s="6" t="str">
        <f>CHOOSE(J3,M1,K2,K3,K4)</f>
        <v>vybete Opatření #3 je-li relevantní</v>
      </c>
      <c r="N9" s="6" t="str">
        <f>IF(K9=M1,"",K9)</f>
        <v/>
      </c>
    </row>
    <row r="10" spans="1:20" x14ac:dyDescent="0.25">
      <c r="B10" t="s">
        <v>7</v>
      </c>
    </row>
    <row r="12" spans="1:20" x14ac:dyDescent="0.25">
      <c r="A12">
        <v>4</v>
      </c>
      <c r="B12" t="s">
        <v>10</v>
      </c>
    </row>
    <row r="13" spans="1:20" x14ac:dyDescent="0.25">
      <c r="A13" s="6">
        <f>CHOOSE(A12,"Nevyplněno",8,5,3,1)</f>
        <v>3</v>
      </c>
      <c r="B13" t="s">
        <v>274</v>
      </c>
      <c r="T13" t="str">
        <f>IF(T16=S16,"Výzva č.43",IF(T16=S17,"Výzva č.42","Výzva nevybrána"))</f>
        <v>Výzva č.42</v>
      </c>
    </row>
    <row r="14" spans="1:20" x14ac:dyDescent="0.25">
      <c r="B14" t="s">
        <v>275</v>
      </c>
      <c r="T14" s="355" t="s">
        <v>423</v>
      </c>
    </row>
    <row r="15" spans="1:20" x14ac:dyDescent="0.25">
      <c r="B15" t="s">
        <v>276</v>
      </c>
      <c r="T15" s="355" t="s">
        <v>424</v>
      </c>
    </row>
    <row r="16" spans="1:20" x14ac:dyDescent="0.25">
      <c r="B16" t="s">
        <v>277</v>
      </c>
      <c r="S16" s="31" t="s">
        <v>426</v>
      </c>
      <c r="T16" s="9" t="str">
        <f>IF(Pokyny_k_vyplnění!K7=Pokyny_k_vyplnění!K4,'zdroj#1'!S16,IF(Pokyny_k_vyplnění!K7=Pokyny_k_vyplnění!K5,'zdroj#1'!S17,"Výzva nevybrána"))</f>
        <v>Výzva č. 05_23_042</v>
      </c>
    </row>
    <row r="17" spans="1:37" x14ac:dyDescent="0.25">
      <c r="S17" s="31" t="s">
        <v>425</v>
      </c>
      <c r="T17" s="41" t="b">
        <v>0</v>
      </c>
      <c r="U17" s="41" t="s">
        <v>403</v>
      </c>
    </row>
    <row r="18" spans="1:37" x14ac:dyDescent="0.25">
      <c r="A18">
        <v>5</v>
      </c>
      <c r="B18" t="s">
        <v>11</v>
      </c>
      <c r="S18" s="6">
        <f>IF(T18=T14,1,IF(T18=T15,2,3))</f>
        <v>2</v>
      </c>
      <c r="T18" t="str">
        <f>Pokyny_k_vyplnění!F4</f>
        <v>MŽP_42.výzva, SC 1.4, opatření 1.4.1,1.4.2, 1.4.3, kolová/soutěžní</v>
      </c>
    </row>
    <row r="19" spans="1:37" x14ac:dyDescent="0.25">
      <c r="A19" s="6">
        <f>CHOOSE(A18,"Irelevantní",15,15,10,5,"Irelevantní")</f>
        <v>5</v>
      </c>
      <c r="B19" t="s">
        <v>422</v>
      </c>
    </row>
    <row r="20" spans="1:37" ht="15.75" thickBot="1" x14ac:dyDescent="0.3">
      <c r="B20" t="s">
        <v>273</v>
      </c>
      <c r="X20" t="s">
        <v>222</v>
      </c>
      <c r="Y20" t="s">
        <v>222</v>
      </c>
      <c r="Z20" t="s">
        <v>222</v>
      </c>
      <c r="AA20" t="s">
        <v>222</v>
      </c>
      <c r="AB20" t="s">
        <v>222</v>
      </c>
      <c r="AC20" t="s">
        <v>222</v>
      </c>
      <c r="AD20" t="s">
        <v>222</v>
      </c>
      <c r="AE20" t="s">
        <v>222</v>
      </c>
      <c r="AF20" t="s">
        <v>222</v>
      </c>
      <c r="AG20" t="s">
        <v>222</v>
      </c>
      <c r="AH20" t="s">
        <v>222</v>
      </c>
      <c r="AI20" t="s">
        <v>222</v>
      </c>
      <c r="AJ20" t="s">
        <v>222</v>
      </c>
      <c r="AK20" t="s">
        <v>222</v>
      </c>
    </row>
    <row r="21" spans="1:37" ht="15.75" thickBot="1" x14ac:dyDescent="0.3">
      <c r="B21" t="s">
        <v>272</v>
      </c>
      <c r="V21" s="30">
        <v>10</v>
      </c>
      <c r="X21">
        <v>10</v>
      </c>
      <c r="Y21">
        <v>10</v>
      </c>
      <c r="Z21">
        <v>8</v>
      </c>
      <c r="AA21">
        <v>15</v>
      </c>
      <c r="AB21">
        <v>7</v>
      </c>
      <c r="AC21">
        <v>10</v>
      </c>
      <c r="AD21">
        <v>10</v>
      </c>
      <c r="AE21">
        <v>5</v>
      </c>
      <c r="AF21">
        <v>5</v>
      </c>
      <c r="AG21">
        <v>15</v>
      </c>
      <c r="AH21">
        <v>10</v>
      </c>
      <c r="AI21">
        <v>5</v>
      </c>
      <c r="AJ21">
        <v>5</v>
      </c>
      <c r="AK21">
        <v>5</v>
      </c>
    </row>
    <row r="22" spans="1:37" ht="15.75" thickBot="1" x14ac:dyDescent="0.3">
      <c r="B22" t="s">
        <v>278</v>
      </c>
      <c r="V22" s="29"/>
      <c r="X22">
        <v>0</v>
      </c>
      <c r="Y22">
        <v>8</v>
      </c>
      <c r="Z22">
        <v>5</v>
      </c>
      <c r="AA22">
        <v>10</v>
      </c>
      <c r="AB22">
        <v>5</v>
      </c>
      <c r="AC22">
        <v>7</v>
      </c>
      <c r="AD22">
        <v>7</v>
      </c>
      <c r="AE22">
        <v>3</v>
      </c>
      <c r="AF22">
        <v>2</v>
      </c>
      <c r="AG22">
        <v>12</v>
      </c>
      <c r="AH22">
        <v>7</v>
      </c>
      <c r="AI22">
        <v>0</v>
      </c>
      <c r="AJ22">
        <v>2</v>
      </c>
      <c r="AK22">
        <v>0</v>
      </c>
    </row>
    <row r="23" spans="1:37" ht="15.75" thickBot="1" x14ac:dyDescent="0.3">
      <c r="B23" t="s">
        <v>12</v>
      </c>
      <c r="V23" s="36" t="s">
        <v>164</v>
      </c>
      <c r="Y23">
        <v>5</v>
      </c>
      <c r="Z23">
        <v>3</v>
      </c>
      <c r="AA23">
        <v>5</v>
      </c>
      <c r="AB23">
        <v>4</v>
      </c>
      <c r="AC23">
        <v>5</v>
      </c>
      <c r="AD23">
        <v>5</v>
      </c>
      <c r="AE23">
        <v>2</v>
      </c>
      <c r="AF23">
        <v>0</v>
      </c>
      <c r="AG23">
        <v>8</v>
      </c>
      <c r="AH23">
        <v>5</v>
      </c>
      <c r="AI23" t="s">
        <v>12</v>
      </c>
      <c r="AJ23">
        <v>0</v>
      </c>
    </row>
    <row r="24" spans="1:37" ht="15.75" thickBot="1" x14ac:dyDescent="0.3">
      <c r="V24" s="36" t="s">
        <v>165</v>
      </c>
      <c r="Y24">
        <v>1</v>
      </c>
      <c r="Z24">
        <v>1</v>
      </c>
      <c r="AA24" t="s">
        <v>12</v>
      </c>
      <c r="AB24">
        <v>3</v>
      </c>
      <c r="AC24">
        <v>3</v>
      </c>
      <c r="AD24">
        <v>1</v>
      </c>
      <c r="AE24">
        <v>0</v>
      </c>
      <c r="AF24" t="s">
        <v>12</v>
      </c>
      <c r="AG24">
        <v>5</v>
      </c>
      <c r="AH24">
        <v>3</v>
      </c>
      <c r="AJ24" t="s">
        <v>12</v>
      </c>
    </row>
    <row r="25" spans="1:37" ht="15.75" thickBot="1" x14ac:dyDescent="0.3">
      <c r="V25" s="36" t="s">
        <v>168</v>
      </c>
      <c r="AB25">
        <v>2</v>
      </c>
      <c r="AC25">
        <v>1</v>
      </c>
      <c r="AD25" t="s">
        <v>12</v>
      </c>
      <c r="AE25" t="s">
        <v>12</v>
      </c>
      <c r="AG25">
        <v>2</v>
      </c>
      <c r="AH25">
        <v>1</v>
      </c>
    </row>
    <row r="26" spans="1:37" ht="15.75" thickBot="1" x14ac:dyDescent="0.3">
      <c r="A26">
        <f>IF(B26=TRUE,7,0)</f>
        <v>0</v>
      </c>
      <c r="B26" t="b">
        <v>0</v>
      </c>
      <c r="C26" t="s">
        <v>22</v>
      </c>
      <c r="J26">
        <v>1</v>
      </c>
      <c r="K26" t="s">
        <v>93</v>
      </c>
      <c r="V26" s="36" t="s">
        <v>169</v>
      </c>
      <c r="X26" t="s">
        <v>222</v>
      </c>
      <c r="AB26">
        <v>1</v>
      </c>
      <c r="AC26" t="s">
        <v>12</v>
      </c>
      <c r="AG26">
        <v>1</v>
      </c>
      <c r="AH26" t="s">
        <v>12</v>
      </c>
    </row>
    <row r="27" spans="1:37" ht="15.75" thickBot="1" x14ac:dyDescent="0.3">
      <c r="A27">
        <f>IF(B27=TRUE,5,0)</f>
        <v>0</v>
      </c>
      <c r="B27" t="b">
        <v>0</v>
      </c>
      <c r="C27" t="s">
        <v>92</v>
      </c>
      <c r="K27" s="6" t="s">
        <v>94</v>
      </c>
      <c r="V27" s="36" t="s">
        <v>170</v>
      </c>
      <c r="X27">
        <v>10</v>
      </c>
      <c r="AG27" t="s">
        <v>12</v>
      </c>
    </row>
    <row r="28" spans="1:37" ht="15.75" customHeight="1" thickBot="1" x14ac:dyDescent="0.3">
      <c r="A28">
        <f>IF(B28=TRUE,4,0)</f>
        <v>0</v>
      </c>
      <c r="B28" t="b">
        <v>0</v>
      </c>
      <c r="C28" t="s">
        <v>15</v>
      </c>
      <c r="K28" s="6" t="s">
        <v>87</v>
      </c>
      <c r="V28" s="37"/>
      <c r="X28">
        <v>5</v>
      </c>
    </row>
    <row r="29" spans="1:37" ht="15.75" customHeight="1" thickBot="1" x14ac:dyDescent="0.3">
      <c r="A29">
        <f>IF(B29=TRUE,4,0)</f>
        <v>0</v>
      </c>
      <c r="B29" t="b">
        <v>0</v>
      </c>
      <c r="C29" t="s">
        <v>16</v>
      </c>
      <c r="K29" t="s">
        <v>81</v>
      </c>
      <c r="V29" s="36" t="s">
        <v>171</v>
      </c>
      <c r="X29" t="s">
        <v>12</v>
      </c>
    </row>
    <row r="30" spans="1:37" ht="15.75" customHeight="1" thickBot="1" x14ac:dyDescent="0.3">
      <c r="A30">
        <f>IF(B30=TRUE,2,0)</f>
        <v>0</v>
      </c>
      <c r="B30" t="b">
        <v>0</v>
      </c>
      <c r="C30" t="s">
        <v>17</v>
      </c>
      <c r="K30" t="s">
        <v>82</v>
      </c>
      <c r="V30" s="36" t="s">
        <v>178</v>
      </c>
    </row>
    <row r="31" spans="1:37" ht="15.75" customHeight="1" thickBot="1" x14ac:dyDescent="0.3">
      <c r="A31">
        <f>IF(B31=TRUE,2,0)</f>
        <v>2</v>
      </c>
      <c r="B31" t="b">
        <v>1</v>
      </c>
      <c r="C31" t="s">
        <v>18</v>
      </c>
      <c r="K31" t="s">
        <v>83</v>
      </c>
      <c r="V31" s="36" t="s">
        <v>158</v>
      </c>
    </row>
    <row r="32" spans="1:37" ht="15.75" customHeight="1" thickBot="1" x14ac:dyDescent="0.3">
      <c r="A32">
        <f>IF(B32=TRUE,3,0)</f>
        <v>0</v>
      </c>
      <c r="B32" t="b">
        <v>0</v>
      </c>
      <c r="C32" t="s">
        <v>19</v>
      </c>
      <c r="K32" t="s">
        <v>84</v>
      </c>
      <c r="V32" s="36" t="s">
        <v>157</v>
      </c>
    </row>
    <row r="33" spans="1:22" ht="15.75" customHeight="1" thickBot="1" x14ac:dyDescent="0.3">
      <c r="A33">
        <f>IF(B33=TRUE,1,0)</f>
        <v>0</v>
      </c>
      <c r="B33" t="b">
        <v>0</v>
      </c>
      <c r="C33" t="s">
        <v>21</v>
      </c>
      <c r="K33" t="s">
        <v>85</v>
      </c>
      <c r="V33" s="36" t="s">
        <v>170</v>
      </c>
    </row>
    <row r="34" spans="1:22" ht="15.75" customHeight="1" thickBot="1" x14ac:dyDescent="0.3">
      <c r="A34">
        <f>IF(B34=TRUE,3,0)</f>
        <v>0</v>
      </c>
      <c r="B34" t="b">
        <v>0</v>
      </c>
      <c r="C34" t="s">
        <v>20</v>
      </c>
      <c r="K34" t="s">
        <v>86</v>
      </c>
      <c r="V34" s="36" t="s">
        <v>179</v>
      </c>
    </row>
    <row r="35" spans="1:22" ht="15.75" thickBot="1" x14ac:dyDescent="0.3">
      <c r="K35" t="s">
        <v>88</v>
      </c>
      <c r="V35" s="36" t="s">
        <v>180</v>
      </c>
    </row>
    <row r="36" spans="1:22" ht="15.75" thickBot="1" x14ac:dyDescent="0.3">
      <c r="A36" s="6">
        <f>IF(SUM(A26:A34)=0,"Nevyplněno",MAX(A26:A34))</f>
        <v>2</v>
      </c>
      <c r="K36" t="s">
        <v>89</v>
      </c>
      <c r="V36" s="36" t="s">
        <v>160</v>
      </c>
    </row>
    <row r="37" spans="1:22" x14ac:dyDescent="0.25">
      <c r="K37" t="s">
        <v>90</v>
      </c>
    </row>
    <row r="38" spans="1:22" x14ac:dyDescent="0.25">
      <c r="K38" t="s">
        <v>91</v>
      </c>
    </row>
    <row r="41" spans="1:22" s="8" customFormat="1" x14ac:dyDescent="0.25"/>
    <row r="42" spans="1:22" x14ac:dyDescent="0.25">
      <c r="J42" s="7" t="s">
        <v>151</v>
      </c>
      <c r="K42" s="7" t="s">
        <v>152</v>
      </c>
    </row>
    <row r="43" spans="1:22" x14ac:dyDescent="0.25">
      <c r="B43" s="7" t="s">
        <v>107</v>
      </c>
      <c r="C43" s="12" t="s">
        <v>109</v>
      </c>
      <c r="D43" s="7" t="s">
        <v>108</v>
      </c>
      <c r="I43" t="s">
        <v>144</v>
      </c>
      <c r="J43" s="7">
        <v>1</v>
      </c>
      <c r="K43" s="7">
        <v>1</v>
      </c>
      <c r="N43" t="s">
        <v>161</v>
      </c>
      <c r="O43" t="s">
        <v>162</v>
      </c>
    </row>
    <row r="44" spans="1:22" x14ac:dyDescent="0.25">
      <c r="B44" s="2" t="s">
        <v>98</v>
      </c>
      <c r="C44" s="2" t="s">
        <v>100</v>
      </c>
      <c r="D44" s="6"/>
      <c r="G44">
        <v>1</v>
      </c>
      <c r="H44" s="15" t="s">
        <v>114</v>
      </c>
      <c r="I44" s="13" t="s">
        <v>119</v>
      </c>
      <c r="J44" s="24">
        <v>2</v>
      </c>
      <c r="N44" t="b">
        <v>0</v>
      </c>
      <c r="O44" t="b">
        <v>0</v>
      </c>
    </row>
    <row r="45" spans="1:22" x14ac:dyDescent="0.25">
      <c r="B45" s="4" t="s">
        <v>101</v>
      </c>
      <c r="C45" s="4" t="s">
        <v>99</v>
      </c>
      <c r="D45" s="6"/>
      <c r="E45" t="str">
        <f>CHOOSE($J$1,"",B44,C44,D44)</f>
        <v>Kanalizace a ČOV</v>
      </c>
      <c r="G45">
        <v>2</v>
      </c>
      <c r="H45" s="6" t="s">
        <v>113</v>
      </c>
      <c r="I45" s="18" t="s">
        <v>120</v>
      </c>
      <c r="J45" s="25">
        <v>3</v>
      </c>
      <c r="S45">
        <v>1</v>
      </c>
      <c r="T45" t="s">
        <v>232</v>
      </c>
    </row>
    <row r="46" spans="1:22" x14ac:dyDescent="0.25">
      <c r="B46" s="11" t="s">
        <v>97</v>
      </c>
      <c r="C46" t="s">
        <v>102</v>
      </c>
      <c r="D46" s="6"/>
      <c r="E46" t="str">
        <f t="shared" ref="E46:E49" si="0">CHOOSE($J$1,"",B45,C45,D45)</f>
        <v>Kanalizace a přivaděč</v>
      </c>
      <c r="G46">
        <v>3</v>
      </c>
      <c r="H46" s="10" t="s">
        <v>115</v>
      </c>
      <c r="I46" s="18" t="s">
        <v>121</v>
      </c>
      <c r="J46" s="25">
        <v>4</v>
      </c>
      <c r="T46" t="s">
        <v>250</v>
      </c>
    </row>
    <row r="47" spans="1:22" x14ac:dyDescent="0.25">
      <c r="B47" t="s">
        <v>102</v>
      </c>
      <c r="C47" t="s">
        <v>103</v>
      </c>
      <c r="D47" s="6"/>
      <c r="E47" t="str">
        <f t="shared" si="0"/>
        <v>Pouze kanalizace</v>
      </c>
      <c r="G47">
        <v>4</v>
      </c>
      <c r="H47" s="19" t="s">
        <v>116</v>
      </c>
      <c r="I47" s="20" t="s">
        <v>122</v>
      </c>
      <c r="J47" s="25">
        <v>5</v>
      </c>
      <c r="N47" t="s">
        <v>225</v>
      </c>
      <c r="T47" t="s">
        <v>251</v>
      </c>
    </row>
    <row r="48" spans="1:22" x14ac:dyDescent="0.25">
      <c r="B48" t="s">
        <v>103</v>
      </c>
      <c r="C48" t="s">
        <v>104</v>
      </c>
      <c r="D48" s="6"/>
      <c r="E48" t="str">
        <f t="shared" si="0"/>
        <v>SP kanalizace</v>
      </c>
      <c r="G48">
        <v>5</v>
      </c>
      <c r="H48" s="17" t="s">
        <v>117</v>
      </c>
      <c r="I48" s="22" t="s">
        <v>123</v>
      </c>
      <c r="J48" s="25">
        <v>6</v>
      </c>
      <c r="L48">
        <f>IF(H50=H44,1,IF(H50=H45,2,IF(H50=H46,3,IF(H50=H47,4,IF(H50=H48,5,IF(H50=H49,6,0))))))</f>
        <v>0</v>
      </c>
      <c r="N48" t="s">
        <v>226</v>
      </c>
      <c r="T48" t="s">
        <v>252</v>
      </c>
    </row>
    <row r="49" spans="1:21" x14ac:dyDescent="0.25">
      <c r="B49" t="s">
        <v>104</v>
      </c>
      <c r="D49" s="6"/>
      <c r="E49" t="str">
        <f t="shared" si="0"/>
        <v>SP kanalizace + vodovod</v>
      </c>
      <c r="G49">
        <v>6</v>
      </c>
      <c r="H49" t="s">
        <v>118</v>
      </c>
      <c r="I49" s="16" t="s">
        <v>113</v>
      </c>
      <c r="J49" s="25">
        <v>7</v>
      </c>
      <c r="L49" t="str">
        <f>IFERROR(CHOOSE($L$48,H45,I51,I45,I47,I48,I44),"Nejprve vyber HA")</f>
        <v>Nejprve vyber HA</v>
      </c>
      <c r="N49" t="s">
        <v>249</v>
      </c>
      <c r="T49" t="s">
        <v>431</v>
      </c>
    </row>
    <row r="50" spans="1:21" x14ac:dyDescent="0.25">
      <c r="E50" t="str">
        <f>CHOOSE($J$1,"",B49,"",D49)</f>
        <v>SP ostatní kombinace</v>
      </c>
      <c r="H50" s="9" t="str">
        <f>CHOOSE(J43,"Nejprve vyber HA",H49,H46,H46,H47,H48,H45,H49,H45,H45,H45,H47,H46,H47,H46,H48,H47,H49,H46,H48,H49,H45,H49,H48,H45,H48,H49,H48,H47,H49,H45,H46,H47)</f>
        <v>Nejprve vyber HA</v>
      </c>
      <c r="I50" s="13" t="s">
        <v>124</v>
      </c>
      <c r="J50" s="25">
        <v>8</v>
      </c>
      <c r="L50" t="str">
        <f>IFERROR(CHOOSE($L$48,H46,I52,I46,I54,I58,I50),"vyber HA")</f>
        <v>vyber HA</v>
      </c>
      <c r="N50" t="s">
        <v>227</v>
      </c>
      <c r="T50" s="6" t="str">
        <f>CHOOSE(S45,"Irelevantní",5,3,2,0)</f>
        <v>Irelevantní</v>
      </c>
    </row>
    <row r="51" spans="1:21" x14ac:dyDescent="0.25">
      <c r="I51" s="14" t="s">
        <v>125</v>
      </c>
      <c r="J51" s="25">
        <v>9</v>
      </c>
      <c r="L51" t="str">
        <f>IFERROR(CHOOSE($L$48,H47,I53,I55,I56,I62,I63),"vyber HA")</f>
        <v>vyber HA</v>
      </c>
    </row>
    <row r="52" spans="1:21" x14ac:dyDescent="0.25">
      <c r="I52" s="14" t="s">
        <v>126</v>
      </c>
      <c r="J52" s="26">
        <v>10</v>
      </c>
      <c r="L52" t="str">
        <f>IFERROR(CHOOSE($L$48,H48,I64,I61,I71,I68,I65),"vyber HA")</f>
        <v>vyber HA</v>
      </c>
      <c r="N52" s="6" t="str">
        <f>IF('Projekt#1'!E42='zdroj#1'!N48,5,IF('Projekt#1'!E42='zdroj#1'!N49,2,IF('Projekt#1'!E42='zdroj#1'!N50,0,"Irelevantní")))</f>
        <v>Irelevantní</v>
      </c>
      <c r="O52" t="s">
        <v>228</v>
      </c>
      <c r="S52">
        <v>1</v>
      </c>
      <c r="T52" t="s">
        <v>210</v>
      </c>
      <c r="U52" s="31" t="str">
        <f>CHOOSE(S52,"Irelevantní",5,0)</f>
        <v>Irelevantní</v>
      </c>
    </row>
    <row r="53" spans="1:21" x14ac:dyDescent="0.25">
      <c r="B53" t="s">
        <v>105</v>
      </c>
      <c r="I53" s="14" t="s">
        <v>127</v>
      </c>
      <c r="J53" s="24">
        <v>11</v>
      </c>
      <c r="L53" t="str">
        <f>IFERROR(CHOOSE($L$48,H49,I67,I74,I75,I70,I69),"vyber HA")</f>
        <v>vyber HA</v>
      </c>
      <c r="N53" s="6" t="str">
        <f>IF('Projekt#1'!E45='zdroj#1'!N48,5,IF('Projekt#1'!E45='zdroj#1'!N49,2,IF('Projekt#1'!E45='zdroj#1'!N50,0,"Irelevantní")))</f>
        <v>Irelevantní</v>
      </c>
      <c r="O53" t="s">
        <v>229</v>
      </c>
      <c r="S53">
        <v>1</v>
      </c>
      <c r="T53" t="s">
        <v>212</v>
      </c>
      <c r="U53" s="31" t="str">
        <f>CHOOSE(S53,"Irelevantní",5,0)</f>
        <v>Irelevantní</v>
      </c>
    </row>
    <row r="54" spans="1:21" x14ac:dyDescent="0.25">
      <c r="B54" t="s">
        <v>106</v>
      </c>
      <c r="I54" s="20" t="s">
        <v>128</v>
      </c>
      <c r="J54" s="25">
        <v>12</v>
      </c>
      <c r="L54" t="str">
        <f>IFERROR(CHOOSE($L$48,"",I73,"","","",I72),"vyber HA")</f>
        <v>vyber HA</v>
      </c>
      <c r="S54">
        <v>1</v>
      </c>
      <c r="T54" t="s">
        <v>211</v>
      </c>
      <c r="U54" s="31" t="str">
        <f>CHOOSE(S54,"Irelevantní",5,0)</f>
        <v>Irelevantní</v>
      </c>
    </row>
    <row r="55" spans="1:21" x14ac:dyDescent="0.25">
      <c r="B55" t="s">
        <v>110</v>
      </c>
      <c r="I55" s="18" t="s">
        <v>129</v>
      </c>
      <c r="J55" s="25">
        <v>13</v>
      </c>
      <c r="S55">
        <v>2</v>
      </c>
      <c r="T55" t="s">
        <v>235</v>
      </c>
      <c r="U55" s="31">
        <f>CHOOSE(S55,"Irelevantní",5,0)</f>
        <v>5</v>
      </c>
    </row>
    <row r="56" spans="1:21" x14ac:dyDescent="0.25">
      <c r="I56" s="20" t="s">
        <v>130</v>
      </c>
      <c r="J56" s="25">
        <v>14</v>
      </c>
      <c r="S56">
        <f>IF(OR(S52=3,S53=3,S54=3,S55=3),3,MAX(S52:S55))</f>
        <v>2</v>
      </c>
      <c r="U56" s="6">
        <f>CHOOSE(S56,"Irelevantní",5,0)</f>
        <v>5</v>
      </c>
    </row>
    <row r="57" spans="1:21" x14ac:dyDescent="0.25">
      <c r="I57" s="16" t="s">
        <v>115</v>
      </c>
      <c r="J57" s="25">
        <v>15</v>
      </c>
      <c r="L57" s="6" t="str">
        <f>CHOOSE(J43,"Nevybráno",I44,I45,I46,I47,I48,I49,I50,I51,I52,I53,I54,I55,I56,I57,I58,I59,I60,I61,I62,I63,I64,I65,I66,I67,I68,I69,I70,I71,I72,I73,I74,I75)</f>
        <v>Nevybráno</v>
      </c>
      <c r="M57" t="s">
        <v>241</v>
      </c>
    </row>
    <row r="58" spans="1:21" x14ac:dyDescent="0.25">
      <c r="A58">
        <f>IF('Projekt#1'!D151&gt;0,1,IF('Projekt#1'!D85&gt;0,2,0))</f>
        <v>1</v>
      </c>
      <c r="B58" t="s">
        <v>182</v>
      </c>
      <c r="I58" s="22" t="s">
        <v>131</v>
      </c>
      <c r="J58" s="25">
        <v>16</v>
      </c>
      <c r="L58" s="6" t="str">
        <f>IFERROR(CHOOSE(K43,L49,L50,L51,L52,L53,L54,L55),"Nevybráno")</f>
        <v>Nejprve vyber HA</v>
      </c>
      <c r="M58" t="s">
        <v>242</v>
      </c>
    </row>
    <row r="59" spans="1:21" x14ac:dyDescent="0.25">
      <c r="A59" s="27">
        <f>MAX('Projekt#1'!D85,'Projekt#1'!D151)</f>
        <v>110</v>
      </c>
      <c r="B59">
        <f>IF(A64=0,0,IF(A64&lt;12100,10,IF(AND(A64&gt;=12100,A64&lt;14300),7,IF(AND(A64&gt;=14300,A64&lt;16500),5,1))))</f>
        <v>1</v>
      </c>
      <c r="I59" s="16" t="s">
        <v>116</v>
      </c>
      <c r="J59" s="25">
        <v>17</v>
      </c>
      <c r="L59" s="6" t="str">
        <f>IFERROR(IF(OR(J43=7,J43=15,J43=17,J43=18,J43=24),H44,CHOOSE(L48,H44,H45,H46,H47,H48,H49,H50)),"Nejprve vyber HA")</f>
        <v>Nejprve vyber HA</v>
      </c>
      <c r="M59" t="s">
        <v>243</v>
      </c>
      <c r="N59" s="251">
        <f>'Projekt#1'!C44/'Projekt#1'!D152</f>
        <v>285641.47281818185</v>
      </c>
    </row>
    <row r="60" spans="1:21" x14ac:dyDescent="0.25">
      <c r="B60" t="s">
        <v>183</v>
      </c>
      <c r="I60" s="16" t="s">
        <v>118</v>
      </c>
      <c r="J60" s="25">
        <v>18</v>
      </c>
      <c r="N60" s="33">
        <f>IFERROR(IF(N59=0,1,IF(N59&lt;82500,2,IF(AND(N59&gt;=82500,N59&lt;104500),3,IF(AND(N59&gt;=104500,N59&lt;126500),4,IF(AND(N59&gt;=126500,N59&lt;148500),5,IF(AND(N59&gt;=148500,N59&lt;165000),6,IF(N59&gt;=165000,7,1))))))),1)</f>
        <v>7</v>
      </c>
      <c r="S60" t="b">
        <v>1</v>
      </c>
      <c r="T60" t="s">
        <v>281</v>
      </c>
      <c r="U60">
        <f>IF(S60=TRUE,5,0)</f>
        <v>5</v>
      </c>
    </row>
    <row r="61" spans="1:21" x14ac:dyDescent="0.25">
      <c r="A61">
        <f>IFERROR('Projekt#1'!D41/'Projekt#1'!D85,0)</f>
        <v>0</v>
      </c>
      <c r="B61">
        <f>IF(A64=0,0,IF(A64&lt;16500,10,IF(AND(A64&gt;=16500,A64&lt;19300),7,IF(AND(A64&gt;=19300,A64&lt;23700),5,1))))</f>
        <v>1</v>
      </c>
      <c r="I61" s="18" t="s">
        <v>132</v>
      </c>
      <c r="J61" s="25">
        <v>19</v>
      </c>
      <c r="N61" s="34">
        <f>CHOOSE(N60,"Irelevantní",15,12,8,5,2,1)</f>
        <v>1</v>
      </c>
      <c r="O61" t="s">
        <v>238</v>
      </c>
      <c r="S61" t="b">
        <v>1</v>
      </c>
      <c r="T61" t="s">
        <v>282</v>
      </c>
      <c r="U61">
        <f>IF(S61=TRUE,5,0)</f>
        <v>5</v>
      </c>
    </row>
    <row r="62" spans="1:21" x14ac:dyDescent="0.25">
      <c r="A62">
        <f>IFERROR('Projekt#1'!D41/'Projekt#1'!D151,0)</f>
        <v>321883.93390909093</v>
      </c>
      <c r="B62" t="s">
        <v>184</v>
      </c>
      <c r="I62" s="22" t="s">
        <v>133</v>
      </c>
      <c r="J62" s="26">
        <v>20</v>
      </c>
      <c r="N62" s="33"/>
      <c r="T62" t="s">
        <v>283</v>
      </c>
    </row>
    <row r="63" spans="1:21" x14ac:dyDescent="0.25">
      <c r="A63" s="28"/>
      <c r="B63">
        <f>IF(A64=0,0,IF(A64&lt;18700,10,IF(AND(A64&gt;=18700,A64&lt;23100),7,IF(AND(A64&gt;=23100,A64&lt;28800),5,1))))</f>
        <v>1</v>
      </c>
      <c r="I63" s="13" t="s">
        <v>134</v>
      </c>
      <c r="J63" s="24">
        <v>21</v>
      </c>
      <c r="N63" s="35">
        <f>'Projekt#1'!C44/'Projekt#1'!D139</f>
        <v>31326.58226321037</v>
      </c>
      <c r="T63" s="39" t="s">
        <v>284</v>
      </c>
      <c r="U63" s="6">
        <f>IF(SUM(U60:U62)=0,"Irelevantní",SUM(U60:U62))</f>
        <v>10</v>
      </c>
    </row>
    <row r="64" spans="1:21" x14ac:dyDescent="0.25">
      <c r="A64">
        <f>MAX(A61:A62)</f>
        <v>321883.93390909093</v>
      </c>
      <c r="I64" s="14" t="s">
        <v>135</v>
      </c>
      <c r="J64" s="25">
        <v>22</v>
      </c>
      <c r="N64" s="7">
        <f>IF(N63=0,1,IF(N63&lt;7800,2,IF(AND(N63&gt;=7800,N63&lt;9400),3,IF(AND(N63&gt;=9400,N63&lt;12700),4,IF(AND(N63&gt;=12700,N63&lt;16600),5,IF(N63&gt;=16600,6,1))))))</f>
        <v>6</v>
      </c>
    </row>
    <row r="65" spans="1:15" x14ac:dyDescent="0.25">
      <c r="A65">
        <f>IF(OR(A59=0,AND(A61=0,A62=0)),0,IF(A59&lt;500,1,IF(AND(A59&gt;=500,A59&lt;=2000),2,3)))</f>
        <v>1</v>
      </c>
      <c r="B65" s="6">
        <f>IFERROR(CHOOSE(A65,B63,B61,B59),"Irelevantní")</f>
        <v>1</v>
      </c>
      <c r="I65" s="13" t="s">
        <v>432</v>
      </c>
      <c r="J65" s="25">
        <v>23</v>
      </c>
      <c r="N65" s="32">
        <f>IFERROR(CHOOSE(N64,"Irelevantní",10,7,5,3,1),"Irelevantní")</f>
        <v>1</v>
      </c>
      <c r="O65" t="s">
        <v>239</v>
      </c>
    </row>
    <row r="66" spans="1:15" x14ac:dyDescent="0.25">
      <c r="I66" s="16" t="s">
        <v>117</v>
      </c>
      <c r="J66" s="25">
        <v>24</v>
      </c>
    </row>
    <row r="67" spans="1:15" x14ac:dyDescent="0.25">
      <c r="B67" t="s">
        <v>154</v>
      </c>
      <c r="I67" s="14" t="s">
        <v>136</v>
      </c>
      <c r="J67" s="25">
        <v>25</v>
      </c>
    </row>
    <row r="68" spans="1:15" x14ac:dyDescent="0.25">
      <c r="A68">
        <v>1</v>
      </c>
      <c r="B68" s="6">
        <f>IFERROR(CHOOSE(A68,10,0),"Nevyplněno")</f>
        <v>10</v>
      </c>
      <c r="I68" s="22" t="s">
        <v>137</v>
      </c>
      <c r="J68" s="25">
        <v>26</v>
      </c>
    </row>
    <row r="69" spans="1:15" x14ac:dyDescent="0.25">
      <c r="I69" s="13" t="s">
        <v>138</v>
      </c>
      <c r="J69" s="25">
        <v>27</v>
      </c>
    </row>
    <row r="70" spans="1:15" x14ac:dyDescent="0.25">
      <c r="B70" t="s">
        <v>266</v>
      </c>
      <c r="I70" s="22" t="s">
        <v>139</v>
      </c>
      <c r="J70" s="25">
        <v>28</v>
      </c>
    </row>
    <row r="71" spans="1:15" x14ac:dyDescent="0.25">
      <c r="A71">
        <v>2</v>
      </c>
      <c r="B71" s="6">
        <f>IFERROR(CHOOSE(A71,0,5),"Nevyplněno")</f>
        <v>5</v>
      </c>
      <c r="I71" s="21" t="s">
        <v>143</v>
      </c>
      <c r="J71" s="25">
        <v>29</v>
      </c>
    </row>
    <row r="72" spans="1:15" x14ac:dyDescent="0.25">
      <c r="B72" t="str">
        <f>IFERROR(CHOOSE(A71,"ANO","Ne"),"Nevyplněno")</f>
        <v>Ne</v>
      </c>
      <c r="I72" s="13" t="s">
        <v>140</v>
      </c>
      <c r="J72" s="26">
        <v>30</v>
      </c>
    </row>
    <row r="73" spans="1:15" x14ac:dyDescent="0.25">
      <c r="I73" s="14" t="s">
        <v>141</v>
      </c>
      <c r="J73" s="23">
        <v>31</v>
      </c>
    </row>
    <row r="74" spans="1:15" x14ac:dyDescent="0.25">
      <c r="I74" s="18" t="s">
        <v>142</v>
      </c>
      <c r="J74" s="23">
        <v>32</v>
      </c>
    </row>
    <row r="75" spans="1:15" x14ac:dyDescent="0.25">
      <c r="I75" s="21" t="s">
        <v>408</v>
      </c>
      <c r="J75" s="23">
        <v>33</v>
      </c>
    </row>
    <row r="76" spans="1:15" x14ac:dyDescent="0.25">
      <c r="I76" s="13"/>
    </row>
  </sheetData>
  <sheetProtection selectLockedCells="1" selectUnlockedCells="1"/>
  <pageMargins left="0.7" right="0.7" top="0.78740157499999996" bottom="0.78740157499999996" header="0.3" footer="0.3"/>
  <pageSetup paperSize="9" orientation="portrait" r:id="rId1"/>
  <ignoredErrors>
    <ignoredError sqref="L58" emptyCellReference="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
    <tabColor rgb="FF00B0F0"/>
    <pageSetUpPr fitToPage="1"/>
  </sheetPr>
  <dimension ref="A1:S57"/>
  <sheetViews>
    <sheetView topLeftCell="B1" zoomScale="85" zoomScaleNormal="85" workbookViewId="0">
      <selection activeCell="G16" sqref="G16:H16"/>
    </sheetView>
  </sheetViews>
  <sheetFormatPr defaultColWidth="0" defaultRowHeight="15" zeroHeight="1" x14ac:dyDescent="0.25"/>
  <cols>
    <col min="1" max="2" width="2.28515625" style="40" customWidth="1"/>
    <col min="3" max="3" width="62.42578125" style="40" customWidth="1"/>
    <col min="4" max="4" width="32.5703125" style="40" customWidth="1"/>
    <col min="5" max="5" width="9.28515625" style="40" customWidth="1"/>
    <col min="6" max="6" width="22.42578125" style="40" customWidth="1"/>
    <col min="7" max="7" width="9.28515625" style="40" customWidth="1"/>
    <col min="8" max="8" width="23.28515625" style="40" customWidth="1"/>
    <col min="9" max="9" width="5.5703125" style="177" customWidth="1"/>
    <col min="10" max="10" width="33.7109375" style="40" customWidth="1"/>
    <col min="11" max="11" width="25.28515625" style="152" hidden="1" customWidth="1"/>
    <col min="12" max="12" width="32.28515625" style="152" hidden="1" customWidth="1"/>
    <col min="13" max="13" width="9.28515625" style="152" hidden="1" customWidth="1"/>
    <col min="14" max="14" width="11.7109375" style="152" hidden="1" customWidth="1"/>
    <col min="15" max="16" width="9.28515625" style="152" hidden="1" customWidth="1"/>
    <col min="17" max="17" width="10.5703125" style="152" hidden="1" customWidth="1"/>
    <col min="18" max="16384" width="9.28515625" style="40" hidden="1"/>
  </cols>
  <sheetData>
    <row r="1" spans="1:14" x14ac:dyDescent="0.25">
      <c r="A1" s="152"/>
      <c r="B1" s="152"/>
      <c r="C1" s="152"/>
      <c r="D1" s="152"/>
      <c r="E1" s="152"/>
      <c r="F1" s="152"/>
      <c r="G1" s="152"/>
      <c r="H1" s="152"/>
      <c r="I1" s="153"/>
      <c r="J1" s="152"/>
      <c r="K1" s="134" t="s">
        <v>339</v>
      </c>
    </row>
    <row r="2" spans="1:14" ht="18.75" x14ac:dyDescent="0.25">
      <c r="A2" s="152"/>
      <c r="B2" s="152"/>
      <c r="C2" s="535" t="s">
        <v>368</v>
      </c>
      <c r="D2" s="535"/>
      <c r="E2" s="535"/>
      <c r="F2" s="535"/>
      <c r="G2" s="535"/>
      <c r="H2" s="535"/>
      <c r="I2" s="153"/>
      <c r="J2" s="152"/>
    </row>
    <row r="3" spans="1:14" ht="15.75" x14ac:dyDescent="0.25">
      <c r="A3" s="152"/>
      <c r="B3" s="152"/>
      <c r="D3" s="188" t="str">
        <f>'zdroj#1'!T16</f>
        <v>Výzva č. 05_23_042</v>
      </c>
      <c r="E3" s="154" t="s">
        <v>349</v>
      </c>
      <c r="F3" s="155"/>
      <c r="G3" s="155"/>
      <c r="H3" s="155"/>
      <c r="I3" s="153"/>
      <c r="J3" s="152"/>
    </row>
    <row r="4" spans="1:14" ht="15.75" thickBot="1" x14ac:dyDescent="0.3">
      <c r="A4" s="152"/>
      <c r="B4" s="152"/>
      <c r="C4" s="152"/>
      <c r="D4" s="152"/>
      <c r="E4" s="152"/>
      <c r="F4" s="152"/>
      <c r="G4" s="152"/>
      <c r="H4" s="152"/>
      <c r="I4" s="153"/>
      <c r="J4" s="152"/>
    </row>
    <row r="5" spans="1:14" ht="15.75" x14ac:dyDescent="0.25">
      <c r="A5" s="152"/>
      <c r="B5" s="528" t="s">
        <v>80</v>
      </c>
      <c r="C5" s="529"/>
      <c r="D5" s="537" t="str">
        <f>'Projekt#1'!C5</f>
        <v>Obec Stěžery</v>
      </c>
      <c r="E5" s="537"/>
      <c r="F5" s="537"/>
      <c r="G5" s="537"/>
      <c r="H5" s="538"/>
      <c r="I5" s="153"/>
      <c r="J5" s="152"/>
      <c r="K5" s="178"/>
    </row>
    <row r="6" spans="1:14" ht="15.75" x14ac:dyDescent="0.25">
      <c r="A6" s="152"/>
      <c r="B6" s="530" t="s">
        <v>79</v>
      </c>
      <c r="C6" s="531"/>
      <c r="D6" s="543" t="str">
        <f>'Projekt#1'!C6</f>
        <v>Odkanalizování obce Stěžery a Stěžírky - 1. etapa</v>
      </c>
      <c r="E6" s="543"/>
      <c r="F6" s="543"/>
      <c r="G6" s="543"/>
      <c r="H6" s="544"/>
      <c r="I6" s="153"/>
      <c r="J6" s="152"/>
      <c r="K6" s="178"/>
    </row>
    <row r="7" spans="1:14" ht="15.75" x14ac:dyDescent="0.25">
      <c r="A7" s="152"/>
      <c r="B7" s="530" t="s">
        <v>148</v>
      </c>
      <c r="C7" s="531"/>
      <c r="D7" s="314" t="s">
        <v>379</v>
      </c>
      <c r="E7" s="156"/>
      <c r="F7" s="547"/>
      <c r="G7" s="547"/>
      <c r="H7" s="548"/>
      <c r="I7" s="153"/>
      <c r="J7" s="152"/>
      <c r="K7" s="178"/>
    </row>
    <row r="8" spans="1:14" ht="15.75" x14ac:dyDescent="0.25">
      <c r="A8" s="152"/>
      <c r="B8" s="530" t="s">
        <v>96</v>
      </c>
      <c r="C8" s="531"/>
      <c r="D8" s="187" t="str">
        <f>Pokyny_k_vyplnění!K7</f>
        <v>MŽP_42.výzva, SC 1.4, opatření 1.4.1,1.4.2, 1.4.3, kolová/soutěžní</v>
      </c>
      <c r="E8" s="156"/>
      <c r="F8" s="156"/>
      <c r="G8" s="156"/>
      <c r="H8" s="158"/>
      <c r="I8" s="153"/>
      <c r="J8" s="152"/>
      <c r="K8" s="178"/>
    </row>
    <row r="9" spans="1:14" ht="15.75" x14ac:dyDescent="0.25">
      <c r="A9" s="152"/>
      <c r="B9" s="530" t="s">
        <v>149</v>
      </c>
      <c r="C9" s="531"/>
      <c r="D9" s="157" t="s">
        <v>337</v>
      </c>
      <c r="E9" s="156"/>
      <c r="F9" s="156"/>
      <c r="G9" s="156"/>
      <c r="H9" s="158"/>
      <c r="I9" s="153"/>
      <c r="J9" s="152"/>
      <c r="K9" s="178"/>
    </row>
    <row r="10" spans="1:14" ht="48.75" customHeight="1" thickBot="1" x14ac:dyDescent="0.3">
      <c r="A10" s="152"/>
      <c r="B10" s="509" t="s">
        <v>230</v>
      </c>
      <c r="C10" s="510"/>
      <c r="D10" s="313" t="str">
        <f>'zdroj#1'!N7</f>
        <v>1.4.1 Dobudování a výstavba čistíren odpadních vod; dobudování a výstavba kanalizací</v>
      </c>
      <c r="E10" s="521" t="str">
        <f>'zdroj#1'!N8</f>
        <v/>
      </c>
      <c r="F10" s="549"/>
      <c r="G10" s="521" t="str">
        <f>'zdroj#1'!N9</f>
        <v/>
      </c>
      <c r="H10" s="522"/>
      <c r="I10" s="153"/>
      <c r="J10" s="152"/>
      <c r="K10" s="178"/>
    </row>
    <row r="11" spans="1:14" ht="15.75" thickBot="1" x14ac:dyDescent="0.3">
      <c r="A11" s="152"/>
      <c r="B11" s="152"/>
      <c r="C11" s="152"/>
      <c r="D11" s="152"/>
      <c r="E11" s="152"/>
      <c r="F11" s="152"/>
      <c r="G11" s="152"/>
      <c r="H11" s="152"/>
      <c r="I11" s="153"/>
      <c r="J11" s="152"/>
      <c r="K11" s="178"/>
    </row>
    <row r="12" spans="1:14" ht="15.75" x14ac:dyDescent="0.25">
      <c r="A12" s="152"/>
      <c r="B12" s="159"/>
      <c r="C12" s="159"/>
      <c r="D12" s="160" t="s">
        <v>112</v>
      </c>
      <c r="E12" s="511" t="s">
        <v>111</v>
      </c>
      <c r="F12" s="511"/>
      <c r="G12" s="511" t="s">
        <v>150</v>
      </c>
      <c r="H12" s="512"/>
      <c r="I12" s="161"/>
      <c r="J12" s="159"/>
      <c r="K12" s="179"/>
      <c r="L12" s="159"/>
      <c r="M12" s="159"/>
      <c r="N12" s="159"/>
    </row>
    <row r="13" spans="1:14" ht="18" customHeight="1" thickBot="1" x14ac:dyDescent="0.3">
      <c r="A13" s="152"/>
      <c r="B13" s="159"/>
      <c r="C13" s="159"/>
      <c r="D13" s="162" t="str">
        <f>'zdroj#1'!L59</f>
        <v>Nejprve vyber HA</v>
      </c>
      <c r="E13" s="513" t="str">
        <f>'zdroj#1'!L57</f>
        <v>Nevybráno</v>
      </c>
      <c r="F13" s="513"/>
      <c r="G13" s="513" t="str">
        <f>'zdroj#1'!L58</f>
        <v>Nejprve vyber HA</v>
      </c>
      <c r="H13" s="514"/>
      <c r="I13" s="163"/>
      <c r="J13" s="159"/>
      <c r="K13" s="179"/>
      <c r="L13" s="159"/>
      <c r="M13" s="159"/>
      <c r="N13" s="159"/>
    </row>
    <row r="14" spans="1:14" ht="15.75" customHeight="1" thickBot="1" x14ac:dyDescent="0.3">
      <c r="A14" s="152"/>
      <c r="B14" s="152"/>
      <c r="C14" s="152"/>
      <c r="D14" s="152"/>
      <c r="E14" s="152"/>
      <c r="F14" s="152"/>
      <c r="G14" s="152"/>
      <c r="H14" s="152"/>
      <c r="I14" s="164"/>
      <c r="J14" s="152"/>
      <c r="K14" s="178"/>
    </row>
    <row r="15" spans="1:14" ht="16.5" thickBot="1" x14ac:dyDescent="0.3">
      <c r="A15" s="152"/>
      <c r="B15" s="165"/>
      <c r="C15" s="165"/>
      <c r="D15" s="166" t="s">
        <v>153</v>
      </c>
      <c r="E15" s="545" t="s">
        <v>111</v>
      </c>
      <c r="F15" s="546"/>
      <c r="G15" s="545" t="s">
        <v>150</v>
      </c>
      <c r="H15" s="546"/>
      <c r="I15" s="163"/>
      <c r="J15" s="152"/>
      <c r="K15" s="179"/>
      <c r="L15" s="159"/>
      <c r="M15" s="159"/>
      <c r="N15" s="159"/>
    </row>
    <row r="16" spans="1:14" ht="19.5" thickBot="1" x14ac:dyDescent="0.3">
      <c r="A16" s="152"/>
      <c r="B16" s="167" t="s">
        <v>154</v>
      </c>
      <c r="C16" s="166" t="s">
        <v>285</v>
      </c>
      <c r="D16" s="168" t="s">
        <v>428</v>
      </c>
      <c r="E16" s="539">
        <f>'zdroj#1'!U63</f>
        <v>10</v>
      </c>
      <c r="F16" s="540"/>
      <c r="G16" s="541" t="s">
        <v>222</v>
      </c>
      <c r="H16" s="542"/>
      <c r="I16" s="163">
        <f>IF(OR(G16="vyber",G16="Irelevantní"),0,G16)</f>
        <v>0</v>
      </c>
      <c r="J16" s="152"/>
      <c r="K16" s="179"/>
      <c r="L16" s="159"/>
      <c r="M16" s="159"/>
      <c r="N16" s="159"/>
    </row>
    <row r="17" spans="1:19" ht="9" customHeight="1" thickBot="1" x14ac:dyDescent="0.3">
      <c r="A17" s="152"/>
      <c r="B17" s="165"/>
      <c r="C17" s="169"/>
      <c r="D17" s="165"/>
      <c r="E17" s="170"/>
      <c r="F17" s="170"/>
      <c r="G17" s="159"/>
      <c r="H17" s="159"/>
      <c r="I17" s="163"/>
      <c r="J17" s="152"/>
      <c r="K17" s="179"/>
      <c r="L17" s="159"/>
      <c r="M17" s="159"/>
      <c r="N17" s="159"/>
    </row>
    <row r="18" spans="1:19" ht="15.75" customHeight="1" thickBot="1" x14ac:dyDescent="0.3">
      <c r="A18" s="152"/>
      <c r="B18" s="523" t="s">
        <v>155</v>
      </c>
      <c r="C18" s="166" t="s">
        <v>163</v>
      </c>
      <c r="D18" s="168" t="s">
        <v>164</v>
      </c>
      <c r="E18" s="526">
        <f>'zdroj#1'!A7</f>
        <v>10</v>
      </c>
      <c r="F18" s="527"/>
      <c r="G18" s="519" t="s">
        <v>222</v>
      </c>
      <c r="H18" s="520"/>
      <c r="I18" s="163">
        <f t="shared" ref="I18:I19" si="0">IF(OR(G18="Vyber",G18="Irelevantní"),0,G18)</f>
        <v>0</v>
      </c>
      <c r="J18" s="152"/>
      <c r="K18" s="179"/>
      <c r="L18" s="159"/>
      <c r="M18" s="159"/>
      <c r="N18" s="159"/>
    </row>
    <row r="19" spans="1:19" ht="16.5" thickBot="1" x14ac:dyDescent="0.3">
      <c r="A19" s="152"/>
      <c r="B19" s="524"/>
      <c r="C19" s="166" t="s">
        <v>9</v>
      </c>
      <c r="D19" s="168" t="s">
        <v>165</v>
      </c>
      <c r="E19" s="526">
        <f>'zdroj#1'!A13</f>
        <v>3</v>
      </c>
      <c r="F19" s="527"/>
      <c r="G19" s="519" t="s">
        <v>222</v>
      </c>
      <c r="H19" s="520"/>
      <c r="I19" s="163">
        <f t="shared" si="0"/>
        <v>0</v>
      </c>
      <c r="J19" s="152"/>
      <c r="K19" s="179"/>
      <c r="L19" s="159"/>
      <c r="M19" s="159"/>
      <c r="N19" s="159"/>
    </row>
    <row r="20" spans="1:19" ht="32.25" thickBot="1" x14ac:dyDescent="0.3">
      <c r="A20" s="152"/>
      <c r="B20" s="524"/>
      <c r="C20" s="171" t="s">
        <v>421</v>
      </c>
      <c r="D20" s="168" t="s">
        <v>168</v>
      </c>
      <c r="E20" s="526">
        <f>'zdroj#1'!A19</f>
        <v>5</v>
      </c>
      <c r="F20" s="527"/>
      <c r="G20" s="515" t="s">
        <v>222</v>
      </c>
      <c r="H20" s="516"/>
      <c r="I20" s="172">
        <f>IF(OR(G20="Vyber",G20="Irelevantní"),0,G20)</f>
        <v>0</v>
      </c>
      <c r="J20" s="165" t="str">
        <f>IF('zdroj#1'!A1&gt;2,"Pozor, aglomerace nad 2000 EO","")</f>
        <v/>
      </c>
      <c r="K20" s="179"/>
      <c r="L20" s="159"/>
      <c r="M20" s="159"/>
      <c r="N20" s="159"/>
    </row>
    <row r="21" spans="1:19" ht="16.5" thickBot="1" x14ac:dyDescent="0.3">
      <c r="A21" s="152"/>
      <c r="B21" s="524"/>
      <c r="C21" s="166" t="s">
        <v>166</v>
      </c>
      <c r="D21" s="168" t="s">
        <v>169</v>
      </c>
      <c r="E21" s="526">
        <f>'zdroj#1'!A36</f>
        <v>2</v>
      </c>
      <c r="F21" s="527"/>
      <c r="G21" s="515" t="s">
        <v>222</v>
      </c>
      <c r="H21" s="516"/>
      <c r="I21" s="163">
        <f>IF(OR(G21="Vyber",G21="Irelevantní"),0,G21)</f>
        <v>0</v>
      </c>
      <c r="J21" s="152"/>
      <c r="K21" s="179"/>
      <c r="L21" s="159"/>
      <c r="M21" s="159"/>
      <c r="N21" s="159"/>
    </row>
    <row r="22" spans="1:19" ht="16.5" thickBot="1" x14ac:dyDescent="0.3">
      <c r="A22" s="152"/>
      <c r="B22" s="525"/>
      <c r="C22" s="171" t="s">
        <v>167</v>
      </c>
      <c r="D22" s="168" t="s">
        <v>170</v>
      </c>
      <c r="E22" s="526">
        <f>'zdroj#1'!G2</f>
        <v>3</v>
      </c>
      <c r="F22" s="527"/>
      <c r="G22" s="517" t="s">
        <v>222</v>
      </c>
      <c r="H22" s="518"/>
      <c r="I22" s="163">
        <f>IF(OR(G22="Vyber",G22="Irelevantní"),0,G22)</f>
        <v>0</v>
      </c>
      <c r="J22" s="161"/>
      <c r="K22" s="180"/>
      <c r="L22" s="159"/>
      <c r="M22" s="159"/>
      <c r="N22" s="159"/>
    </row>
    <row r="23" spans="1:19" ht="16.5" thickBot="1" x14ac:dyDescent="0.3">
      <c r="A23" s="152"/>
      <c r="B23" s="152"/>
      <c r="C23" s="152"/>
      <c r="D23" s="152"/>
      <c r="E23" s="152"/>
      <c r="F23" s="152"/>
      <c r="G23" s="152"/>
      <c r="H23" s="152"/>
      <c r="I23" s="164"/>
      <c r="J23" s="152"/>
      <c r="K23" s="178"/>
      <c r="L23" s="159"/>
      <c r="R23" s="173" t="s">
        <v>268</v>
      </c>
      <c r="S23" s="173"/>
    </row>
    <row r="24" spans="1:19" ht="16.5" customHeight="1" thickBot="1" x14ac:dyDescent="0.3">
      <c r="A24" s="152"/>
      <c r="B24" s="523" t="s">
        <v>156</v>
      </c>
      <c r="C24" s="171" t="s">
        <v>240</v>
      </c>
      <c r="D24" s="168" t="s">
        <v>171</v>
      </c>
      <c r="E24" s="526">
        <f>'zdroj#1'!B65</f>
        <v>1</v>
      </c>
      <c r="F24" s="527"/>
      <c r="G24" s="515" t="s">
        <v>222</v>
      </c>
      <c r="H24" s="516"/>
      <c r="I24" s="163">
        <f t="shared" ref="I24:I31" si="1">IF(OR(G24="Vyber",G24="Irelevantní"),0,G24)</f>
        <v>0</v>
      </c>
      <c r="J24" s="508" t="str">
        <f>IF(AND(I24&gt;0,OR(I25&gt;0,I26&gt;0)),"Chyba body nová x rek ČOV u HB","")</f>
        <v/>
      </c>
      <c r="K24" s="508"/>
      <c r="L24" s="174"/>
      <c r="M24" s="159"/>
      <c r="N24" s="159"/>
      <c r="O24" s="174"/>
      <c r="P24" s="174"/>
      <c r="Q24" s="174"/>
      <c r="R24" s="175">
        <f>IF(E24="Irelevantní",0,E24)</f>
        <v>1</v>
      </c>
    </row>
    <row r="25" spans="1:19" ht="16.5" thickBot="1" x14ac:dyDescent="0.3">
      <c r="A25" s="152"/>
      <c r="B25" s="524"/>
      <c r="C25" s="171" t="s">
        <v>172</v>
      </c>
      <c r="D25" s="168" t="s">
        <v>178</v>
      </c>
      <c r="E25" s="526" t="str">
        <f>'zdroj#1'!T50</f>
        <v>Irelevantní</v>
      </c>
      <c r="F25" s="527"/>
      <c r="G25" s="515" t="s">
        <v>222</v>
      </c>
      <c r="H25" s="516"/>
      <c r="I25" s="163">
        <f t="shared" si="1"/>
        <v>0</v>
      </c>
      <c r="J25" s="159" t="str">
        <f>IF(AND(R24&gt;0,OR(R25&gt;0,R26&gt;0)),"Chyba body nové ČOV x rek ČOV u HA","")</f>
        <v/>
      </c>
      <c r="K25" s="179"/>
      <c r="L25" s="159"/>
      <c r="O25" s="174"/>
      <c r="P25" s="174"/>
      <c r="Q25" s="174"/>
      <c r="R25" s="175">
        <f t="shared" ref="R25:R26" si="2">IF(E25="Irelevantní",0,E25)</f>
        <v>0</v>
      </c>
    </row>
    <row r="26" spans="1:19" ht="16.5" thickBot="1" x14ac:dyDescent="0.3">
      <c r="A26" s="152"/>
      <c r="B26" s="524"/>
      <c r="C26" s="171" t="s">
        <v>173</v>
      </c>
      <c r="D26" s="168" t="s">
        <v>158</v>
      </c>
      <c r="E26" s="526" t="str">
        <f>'zdroj#1'!N52</f>
        <v>Irelevantní</v>
      </c>
      <c r="F26" s="527"/>
      <c r="G26" s="515" t="s">
        <v>222</v>
      </c>
      <c r="H26" s="516"/>
      <c r="I26" s="163">
        <f t="shared" si="1"/>
        <v>0</v>
      </c>
      <c r="J26" s="159"/>
      <c r="K26" s="179"/>
      <c r="L26" s="159"/>
      <c r="O26" s="174"/>
      <c r="P26" s="174"/>
      <c r="Q26" s="174"/>
      <c r="R26" s="175">
        <f t="shared" si="2"/>
        <v>0</v>
      </c>
    </row>
    <row r="27" spans="1:19" ht="16.5" thickBot="1" x14ac:dyDescent="0.3">
      <c r="A27" s="152"/>
      <c r="B27" s="524"/>
      <c r="C27" s="171" t="s">
        <v>174</v>
      </c>
      <c r="D27" s="168" t="s">
        <v>157</v>
      </c>
      <c r="E27" s="526">
        <f>'zdroj#1'!N61</f>
        <v>1</v>
      </c>
      <c r="F27" s="527"/>
      <c r="G27" s="515" t="s">
        <v>222</v>
      </c>
      <c r="H27" s="516"/>
      <c r="I27" s="163">
        <f t="shared" si="1"/>
        <v>0</v>
      </c>
      <c r="J27" s="159"/>
      <c r="K27" s="179"/>
      <c r="L27" s="159"/>
      <c r="M27" s="159"/>
      <c r="N27" s="159"/>
    </row>
    <row r="28" spans="1:19" ht="16.5" thickBot="1" x14ac:dyDescent="0.3">
      <c r="A28" s="152"/>
      <c r="B28" s="524"/>
      <c r="C28" s="171" t="s">
        <v>175</v>
      </c>
      <c r="D28" s="168" t="s">
        <v>170</v>
      </c>
      <c r="E28" s="526">
        <f>'zdroj#1'!N65</f>
        <v>1</v>
      </c>
      <c r="F28" s="527"/>
      <c r="G28" s="515" t="s">
        <v>222</v>
      </c>
      <c r="H28" s="516"/>
      <c r="I28" s="163">
        <f t="shared" si="1"/>
        <v>0</v>
      </c>
      <c r="J28" s="159"/>
      <c r="K28" s="179"/>
      <c r="L28" s="159"/>
      <c r="M28" s="159"/>
      <c r="N28" s="159"/>
    </row>
    <row r="29" spans="1:19" ht="16.5" thickBot="1" x14ac:dyDescent="0.3">
      <c r="A29" s="152"/>
      <c r="B29" s="524"/>
      <c r="C29" s="171" t="s">
        <v>176</v>
      </c>
      <c r="D29" s="168" t="s">
        <v>160</v>
      </c>
      <c r="E29" s="526">
        <f>'zdroj#1'!U56</f>
        <v>5</v>
      </c>
      <c r="F29" s="527"/>
      <c r="G29" s="515" t="s">
        <v>222</v>
      </c>
      <c r="H29" s="516"/>
      <c r="I29" s="163">
        <f t="shared" si="1"/>
        <v>0</v>
      </c>
      <c r="J29" s="159"/>
      <c r="K29" s="179"/>
      <c r="L29" s="159"/>
      <c r="M29" s="159"/>
      <c r="N29" s="159"/>
    </row>
    <row r="30" spans="1:19" ht="16.5" thickBot="1" x14ac:dyDescent="0.3">
      <c r="A30" s="152"/>
      <c r="B30" s="524"/>
      <c r="C30" s="171" t="s">
        <v>177</v>
      </c>
      <c r="D30" s="168" t="s">
        <v>158</v>
      </c>
      <c r="E30" s="526" t="str">
        <f>'zdroj#1'!N53</f>
        <v>Irelevantní</v>
      </c>
      <c r="F30" s="527"/>
      <c r="G30" s="515" t="s">
        <v>222</v>
      </c>
      <c r="H30" s="516"/>
      <c r="I30" s="163">
        <f t="shared" si="1"/>
        <v>0</v>
      </c>
      <c r="J30" s="159"/>
      <c r="K30" s="179"/>
      <c r="L30" s="159"/>
      <c r="M30" s="159"/>
      <c r="N30" s="159"/>
    </row>
    <row r="31" spans="1:19" ht="35.25" customHeight="1" thickBot="1" x14ac:dyDescent="0.3">
      <c r="A31" s="152"/>
      <c r="B31" s="525"/>
      <c r="C31" s="171" t="s">
        <v>159</v>
      </c>
      <c r="D31" s="168" t="s">
        <v>160</v>
      </c>
      <c r="E31" s="526">
        <f>'zdroj#1'!B71</f>
        <v>5</v>
      </c>
      <c r="F31" s="527"/>
      <c r="G31" s="515" t="s">
        <v>222</v>
      </c>
      <c r="H31" s="516"/>
      <c r="I31" s="163">
        <f t="shared" si="1"/>
        <v>0</v>
      </c>
      <c r="J31" s="159"/>
      <c r="K31" s="178"/>
      <c r="L31" s="159"/>
    </row>
    <row r="32" spans="1:19" ht="16.5" thickBot="1" x14ac:dyDescent="0.3">
      <c r="A32" s="152"/>
      <c r="B32" s="159"/>
      <c r="C32" s="159"/>
      <c r="D32" s="159"/>
      <c r="E32" s="552">
        <f>SUM(E18:F22,E24:F31,E16)</f>
        <v>46</v>
      </c>
      <c r="F32" s="553"/>
      <c r="G32" s="552">
        <f>I32</f>
        <v>0</v>
      </c>
      <c r="H32" s="553"/>
      <c r="I32" s="163">
        <f>SUM(I16,I18:I22,I24:I31)</f>
        <v>0</v>
      </c>
      <c r="J32" s="159"/>
      <c r="K32" s="179"/>
      <c r="L32" s="159"/>
      <c r="M32" s="159"/>
      <c r="N32" s="159"/>
    </row>
    <row r="33" spans="1:17" ht="15.75" x14ac:dyDescent="0.25">
      <c r="A33" s="152"/>
      <c r="B33" s="159"/>
      <c r="C33" s="159"/>
      <c r="D33" s="159"/>
      <c r="E33" s="159"/>
      <c r="F33" s="159"/>
      <c r="G33" s="159"/>
      <c r="H33" s="159"/>
      <c r="I33" s="161"/>
      <c r="J33" s="159"/>
      <c r="K33" s="159"/>
      <c r="L33" s="159"/>
      <c r="M33" s="159"/>
      <c r="N33" s="159"/>
    </row>
    <row r="34" spans="1:17" ht="15.75" x14ac:dyDescent="0.25">
      <c r="A34" s="152"/>
      <c r="B34" s="159"/>
      <c r="C34" s="174"/>
      <c r="D34" s="426" t="str">
        <f>CHOOSE('zdroj#1'!S18,"",IF(SUM(E18:F22,E24:F31)&lt;=14,"Projekt nesplňuje minimální bodové hodnocení pro soutěžní (kolové) výzvy - 15b (bez projektové připravenosti!)",""),"")</f>
        <v/>
      </c>
      <c r="E34" s="426"/>
      <c r="F34" s="426"/>
      <c r="G34" s="426"/>
      <c r="H34" s="426"/>
      <c r="I34" s="161"/>
      <c r="J34" s="159"/>
      <c r="K34" s="159"/>
      <c r="L34" s="159"/>
      <c r="M34" s="159"/>
      <c r="N34" s="159"/>
    </row>
    <row r="35" spans="1:17" ht="15.75" x14ac:dyDescent="0.25">
      <c r="A35" s="152"/>
      <c r="B35" s="159"/>
      <c r="C35" s="174"/>
      <c r="D35" s="426"/>
      <c r="E35" s="426"/>
      <c r="F35" s="426"/>
      <c r="G35" s="426"/>
      <c r="H35" s="426"/>
      <c r="I35" s="161"/>
      <c r="J35" s="159"/>
      <c r="K35" s="159"/>
      <c r="L35" s="159"/>
      <c r="M35" s="159"/>
      <c r="N35" s="159"/>
    </row>
    <row r="36" spans="1:17" ht="15.75" x14ac:dyDescent="0.25">
      <c r="A36" s="152"/>
      <c r="B36" s="159"/>
      <c r="C36" s="174"/>
      <c r="D36" s="550" t="str">
        <f>IF(OR(E25=0,E26=0,E29=0,E30=0,E31=0,G25=0,G26=0,G29=0,G30=0,G31=0),"Projekt zamítnut","")</f>
        <v/>
      </c>
      <c r="E36" s="550"/>
      <c r="F36" s="550"/>
      <c r="G36" s="550"/>
      <c r="H36" s="550"/>
      <c r="I36" s="161"/>
      <c r="J36" s="159"/>
      <c r="K36" s="159"/>
      <c r="L36" s="159"/>
      <c r="M36" s="159"/>
      <c r="N36" s="159"/>
    </row>
    <row r="37" spans="1:17" ht="15.75" x14ac:dyDescent="0.25">
      <c r="A37" s="152"/>
      <c r="B37" s="159"/>
      <c r="C37" s="174"/>
      <c r="D37" s="550"/>
      <c r="E37" s="550"/>
      <c r="F37" s="550"/>
      <c r="G37" s="550"/>
      <c r="H37" s="550"/>
      <c r="I37" s="161"/>
      <c r="J37" s="159"/>
      <c r="K37" s="159"/>
      <c r="L37" s="159"/>
      <c r="M37" s="159"/>
      <c r="N37" s="159"/>
    </row>
    <row r="38" spans="1:17" ht="73.5" customHeight="1" x14ac:dyDescent="0.25">
      <c r="A38" s="152"/>
      <c r="B38" s="159"/>
      <c r="C38" s="174"/>
      <c r="D38" s="532" t="s">
        <v>430</v>
      </c>
      <c r="E38" s="532"/>
      <c r="F38" s="532"/>
      <c r="G38" s="532"/>
      <c r="H38" s="532"/>
      <c r="I38" s="161"/>
      <c r="J38" s="159"/>
      <c r="K38" s="159"/>
      <c r="L38" s="159"/>
      <c r="M38" s="159"/>
      <c r="N38" s="159"/>
      <c r="O38" s="159"/>
      <c r="P38" s="159"/>
      <c r="Q38" s="159"/>
    </row>
    <row r="39" spans="1:17" ht="82.5" customHeight="1" x14ac:dyDescent="0.25">
      <c r="A39" s="152"/>
      <c r="B39" s="159"/>
      <c r="C39" s="174"/>
      <c r="D39" s="505" t="s">
        <v>416</v>
      </c>
      <c r="E39" s="506"/>
      <c r="F39" s="506"/>
      <c r="G39" s="506"/>
      <c r="H39" s="507"/>
      <c r="I39" s="161"/>
      <c r="J39" s="152"/>
    </row>
    <row r="40" spans="1:17" ht="7.5" customHeight="1" x14ac:dyDescent="0.25">
      <c r="A40" s="152"/>
      <c r="B40" s="159"/>
      <c r="C40" s="174"/>
      <c r="D40" s="352"/>
      <c r="E40" s="353"/>
      <c r="F40" s="353"/>
      <c r="G40" s="353"/>
      <c r="H40" s="353"/>
      <c r="I40" s="161"/>
      <c r="J40" s="152"/>
    </row>
    <row r="41" spans="1:17" ht="12.75" customHeight="1" x14ac:dyDescent="0.25">
      <c r="A41" s="152"/>
      <c r="B41" s="159"/>
      <c r="C41" s="159"/>
      <c r="D41" s="533"/>
      <c r="E41" s="161"/>
      <c r="F41" s="161"/>
      <c r="G41" s="533"/>
      <c r="H41" s="533"/>
      <c r="I41" s="533"/>
      <c r="J41" s="159"/>
      <c r="K41" s="159"/>
      <c r="L41" s="159"/>
      <c r="M41" s="159"/>
      <c r="N41" s="159"/>
      <c r="O41" s="159"/>
      <c r="P41" s="159"/>
      <c r="Q41" s="159"/>
    </row>
    <row r="42" spans="1:17" ht="24.75" customHeight="1" x14ac:dyDescent="0.25">
      <c r="A42" s="152"/>
      <c r="B42" s="159"/>
      <c r="C42" s="159"/>
      <c r="D42" s="533"/>
      <c r="E42" s="161"/>
      <c r="F42" s="161"/>
      <c r="G42" s="533"/>
      <c r="H42" s="533"/>
      <c r="I42" s="533"/>
      <c r="J42" s="159"/>
      <c r="L42" s="159"/>
      <c r="M42" s="159"/>
      <c r="N42" s="159"/>
    </row>
    <row r="43" spans="1:17" ht="15.75" x14ac:dyDescent="0.25">
      <c r="A43" s="152"/>
      <c r="B43" s="159"/>
      <c r="C43" s="159"/>
      <c r="D43" s="534"/>
      <c r="E43" s="161"/>
      <c r="F43" s="161"/>
      <c r="G43" s="534"/>
      <c r="H43" s="534"/>
      <c r="I43" s="534"/>
      <c r="J43" s="159"/>
      <c r="K43" s="159"/>
      <c r="L43" s="159"/>
      <c r="M43" s="159"/>
      <c r="N43" s="159"/>
    </row>
    <row r="44" spans="1:17" ht="15.75" x14ac:dyDescent="0.25">
      <c r="A44" s="152"/>
      <c r="B44" s="159"/>
      <c r="C44" s="159"/>
      <c r="D44" s="176" t="str">
        <f>'zdroj#1'!L57</f>
        <v>Nevybráno</v>
      </c>
      <c r="E44" s="161"/>
      <c r="F44" s="161"/>
      <c r="G44" s="536" t="str">
        <f>'zdroj#1'!L58</f>
        <v>Nejprve vyber HA</v>
      </c>
      <c r="H44" s="536"/>
      <c r="I44" s="536"/>
      <c r="J44" s="159"/>
      <c r="K44" s="159"/>
      <c r="L44" s="159"/>
      <c r="M44" s="159"/>
      <c r="N44" s="159"/>
    </row>
    <row r="45" spans="1:17" ht="18" customHeight="1" x14ac:dyDescent="0.25">
      <c r="A45" s="152"/>
      <c r="B45" s="159"/>
      <c r="C45" s="159"/>
      <c r="D45" s="176" t="s">
        <v>111</v>
      </c>
      <c r="E45" s="161"/>
      <c r="F45" s="161"/>
      <c r="G45" s="536" t="s">
        <v>150</v>
      </c>
      <c r="H45" s="536"/>
      <c r="I45" s="536"/>
      <c r="J45" s="159"/>
      <c r="K45" s="159"/>
      <c r="L45" s="159"/>
      <c r="M45" s="159"/>
      <c r="N45" s="159"/>
    </row>
    <row r="46" spans="1:17" ht="8.25" customHeight="1" x14ac:dyDescent="0.25">
      <c r="A46" s="152"/>
      <c r="B46" s="159"/>
      <c r="C46" s="159"/>
      <c r="D46" s="161"/>
      <c r="E46" s="161"/>
      <c r="F46" s="161"/>
      <c r="G46" s="161"/>
      <c r="H46" s="161"/>
      <c r="I46" s="161"/>
      <c r="J46" s="159"/>
      <c r="K46" s="159"/>
      <c r="L46" s="159"/>
      <c r="M46" s="159"/>
      <c r="N46" s="159"/>
    </row>
    <row r="47" spans="1:17" ht="15.75" x14ac:dyDescent="0.25">
      <c r="A47" s="152"/>
      <c r="B47" s="159"/>
      <c r="C47" s="159"/>
      <c r="D47" s="161"/>
      <c r="E47" s="533"/>
      <c r="F47" s="533"/>
      <c r="G47" s="533"/>
      <c r="H47" s="161"/>
      <c r="I47" s="161"/>
      <c r="J47" s="159"/>
      <c r="K47" s="159"/>
      <c r="L47" s="159"/>
      <c r="M47" s="159"/>
      <c r="N47" s="159"/>
    </row>
    <row r="48" spans="1:17" ht="11.25" customHeight="1" x14ac:dyDescent="0.25">
      <c r="A48" s="152"/>
      <c r="B48" s="159"/>
      <c r="C48" s="159"/>
      <c r="D48" s="161"/>
      <c r="E48" s="533"/>
      <c r="F48" s="533"/>
      <c r="G48" s="533"/>
      <c r="H48" s="161"/>
      <c r="I48" s="161"/>
      <c r="J48" s="159"/>
      <c r="K48" s="159"/>
      <c r="L48" s="159"/>
      <c r="M48" s="159"/>
      <c r="N48" s="159"/>
    </row>
    <row r="49" spans="1:14" ht="15.75" x14ac:dyDescent="0.25">
      <c r="A49" s="152"/>
      <c r="B49" s="159"/>
      <c r="C49" s="159"/>
      <c r="D49" s="161"/>
      <c r="E49" s="534"/>
      <c r="F49" s="534"/>
      <c r="G49" s="534"/>
      <c r="H49" s="161"/>
      <c r="I49" s="161"/>
      <c r="J49" s="159"/>
      <c r="K49" s="159"/>
      <c r="L49" s="159"/>
      <c r="M49" s="159"/>
      <c r="N49" s="159"/>
    </row>
    <row r="50" spans="1:14" ht="15.75" x14ac:dyDescent="0.25">
      <c r="A50" s="152"/>
      <c r="B50" s="159"/>
      <c r="C50" s="159"/>
      <c r="D50" s="161"/>
      <c r="E50" s="551" t="str">
        <f>D13</f>
        <v>Nejprve vyber HA</v>
      </c>
      <c r="F50" s="551"/>
      <c r="G50" s="551"/>
      <c r="H50" s="161"/>
      <c r="I50" s="161"/>
      <c r="J50" s="159"/>
      <c r="K50" s="159"/>
      <c r="L50" s="159"/>
      <c r="M50" s="159"/>
      <c r="N50" s="159"/>
    </row>
    <row r="51" spans="1:14" ht="15.75" x14ac:dyDescent="0.25">
      <c r="A51" s="152"/>
      <c r="B51" s="152"/>
      <c r="C51" s="152"/>
      <c r="D51" s="161"/>
      <c r="E51" s="536" t="s">
        <v>112</v>
      </c>
      <c r="F51" s="536"/>
      <c r="G51" s="536"/>
      <c r="H51" s="161"/>
      <c r="I51" s="161"/>
      <c r="J51" s="152"/>
    </row>
    <row r="52" spans="1:14" s="152" customFormat="1" ht="15.75" x14ac:dyDescent="0.25">
      <c r="D52" s="161"/>
      <c r="E52" s="161"/>
      <c r="F52" s="161"/>
      <c r="G52" s="161"/>
      <c r="H52" s="161"/>
      <c r="I52" s="161"/>
      <c r="J52" s="317" t="s">
        <v>404</v>
      </c>
    </row>
    <row r="53" spans="1:14" s="152" customFormat="1" ht="15.75" x14ac:dyDescent="0.25">
      <c r="D53" s="159"/>
      <c r="E53" s="159"/>
      <c r="F53" s="159"/>
      <c r="G53" s="159"/>
      <c r="H53" s="159"/>
      <c r="I53" s="161"/>
    </row>
    <row r="54" spans="1:14" s="152" customFormat="1" hidden="1" x14ac:dyDescent="0.25">
      <c r="I54" s="153"/>
    </row>
    <row r="55" spans="1:14" s="152" customFormat="1" hidden="1" x14ac:dyDescent="0.25">
      <c r="I55" s="153"/>
    </row>
    <row r="56" spans="1:14" s="152" customFormat="1" hidden="1" x14ac:dyDescent="0.25">
      <c r="I56" s="153"/>
    </row>
    <row r="57" spans="1:14" s="152" customFormat="1" hidden="1" x14ac:dyDescent="0.25">
      <c r="I57" s="153"/>
    </row>
  </sheetData>
  <sheetProtection algorithmName="SHA-512" hashValue="SvWl+xusCdlhRloNsQSBHVNUOaYJ06Vn3wv9nW3PdyMUru5Y4QkJDo7GPe3U/DO3mFXL/h1fPk2G2rYkWPXkOA==" saltValue="/dCfOgoTnFZtKHavw/fGBw==" spinCount="100000" sheet="1" selectLockedCells="1"/>
  <mergeCells count="62">
    <mergeCell ref="E51:G51"/>
    <mergeCell ref="D34:H35"/>
    <mergeCell ref="D36:H37"/>
    <mergeCell ref="E26:F26"/>
    <mergeCell ref="E27:F27"/>
    <mergeCell ref="E50:G50"/>
    <mergeCell ref="G44:I44"/>
    <mergeCell ref="E32:F32"/>
    <mergeCell ref="G32:H32"/>
    <mergeCell ref="G31:H31"/>
    <mergeCell ref="G30:H30"/>
    <mergeCell ref="G28:H28"/>
    <mergeCell ref="G29:H29"/>
    <mergeCell ref="G26:H26"/>
    <mergeCell ref="E31:F31"/>
    <mergeCell ref="E28:F28"/>
    <mergeCell ref="D38:H38"/>
    <mergeCell ref="E47:G49"/>
    <mergeCell ref="C2:H2"/>
    <mergeCell ref="D41:D43"/>
    <mergeCell ref="G41:I43"/>
    <mergeCell ref="G45:I45"/>
    <mergeCell ref="D5:H5"/>
    <mergeCell ref="E16:F16"/>
    <mergeCell ref="G16:H16"/>
    <mergeCell ref="D6:H6"/>
    <mergeCell ref="E15:F15"/>
    <mergeCell ref="G15:H15"/>
    <mergeCell ref="F7:H7"/>
    <mergeCell ref="E10:F10"/>
    <mergeCell ref="G27:H27"/>
    <mergeCell ref="G20:H20"/>
    <mergeCell ref="E30:F30"/>
    <mergeCell ref="G21:H21"/>
    <mergeCell ref="G25:H25"/>
    <mergeCell ref="B5:C5"/>
    <mergeCell ref="B6:C6"/>
    <mergeCell ref="B7:C7"/>
    <mergeCell ref="B8:C8"/>
    <mergeCell ref="B9:C9"/>
    <mergeCell ref="E21:F21"/>
    <mergeCell ref="E24:F24"/>
    <mergeCell ref="E19:F19"/>
    <mergeCell ref="E22:F22"/>
    <mergeCell ref="E25:F25"/>
    <mergeCell ref="E20:F20"/>
    <mergeCell ref="D39:H39"/>
    <mergeCell ref="J24:K24"/>
    <mergeCell ref="B10:C10"/>
    <mergeCell ref="E12:F12"/>
    <mergeCell ref="G12:H12"/>
    <mergeCell ref="E13:F13"/>
    <mergeCell ref="G13:H13"/>
    <mergeCell ref="G24:H24"/>
    <mergeCell ref="G22:H22"/>
    <mergeCell ref="G18:H18"/>
    <mergeCell ref="G10:H10"/>
    <mergeCell ref="G19:H19"/>
    <mergeCell ref="B24:B31"/>
    <mergeCell ref="B18:B22"/>
    <mergeCell ref="E18:F18"/>
    <mergeCell ref="E29:F29"/>
  </mergeCells>
  <conditionalFormatting sqref="D34:H35">
    <cfRule type="containsText" dxfId="4" priority="9" operator="containsText" text="minimální">
      <formula>NOT(ISERROR(SEARCH("minimální",D34)))</formula>
    </cfRule>
  </conditionalFormatting>
  <conditionalFormatting sqref="D36:H37">
    <cfRule type="containsText" dxfId="3" priority="8" operator="containsText" text="zamítnut">
      <formula>NOT(ISERROR(SEARCH("zamítnut",D36)))</formula>
    </cfRule>
  </conditionalFormatting>
  <conditionalFormatting sqref="J20">
    <cfRule type="containsText" dxfId="1" priority="2" operator="containsText" text="2000">
      <formula>NOT(ISERROR(SEARCH("2000",J20)))</formula>
    </cfRule>
  </conditionalFormatting>
  <conditionalFormatting sqref="J24:J25">
    <cfRule type="containsText" dxfId="0" priority="5" operator="containsText" text="Chyba">
      <formula>NOT(ISERROR(SEARCH("Chyba",J24)))</formula>
    </cfRule>
  </conditionalFormatting>
  <pageMargins left="0.7" right="0.7" top="0.78740157499999996" bottom="0.78740157499999996" header="0.3" footer="0.3"/>
  <pageSetup paperSize="9" scale="51" orientation="portrait" r:id="rId1"/>
  <rowBreaks count="1" manualBreakCount="1">
    <brk id="23" max="8" man="1"/>
  </rowBreaks>
  <colBreaks count="1" manualBreakCount="1">
    <brk id="17" max="1048575" man="1"/>
  </colBreaks>
  <ignoredErrors>
    <ignoredError sqref="E6:H6 E5:H5 D34" emptyCellReference="1"/>
  </ignoredErrors>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print="0" autoLine="0" autoPict="0">
                <anchor moveWithCells="1">
                  <from>
                    <xdr:col>4</xdr:col>
                    <xdr:colOff>19050</xdr:colOff>
                    <xdr:row>11</xdr:row>
                    <xdr:rowOff>190500</xdr:rowOff>
                  </from>
                  <to>
                    <xdr:col>6</xdr:col>
                    <xdr:colOff>0</xdr:colOff>
                    <xdr:row>12</xdr:row>
                    <xdr:rowOff>209550</xdr:rowOff>
                  </to>
                </anchor>
              </controlPr>
            </control>
          </mc:Choice>
        </mc:AlternateContent>
        <mc:AlternateContent xmlns:mc="http://schemas.openxmlformats.org/markup-compatibility/2006">
          <mc:Choice Requires="x14">
            <control shapeId="4098" r:id="rId5" name="Drop Down 2">
              <controlPr defaultSize="0" print="0" autoLine="0" autoPict="0">
                <anchor moveWithCells="1">
                  <from>
                    <xdr:col>6</xdr:col>
                    <xdr:colOff>0</xdr:colOff>
                    <xdr:row>11</xdr:row>
                    <xdr:rowOff>190500</xdr:rowOff>
                  </from>
                  <to>
                    <xdr:col>7</xdr:col>
                    <xdr:colOff>1524000</xdr:colOff>
                    <xdr:row>12</xdr:row>
                    <xdr:rowOff>209550</xdr:rowOff>
                  </to>
                </anchor>
              </controlPr>
            </control>
          </mc:Choice>
        </mc:AlternateContent>
        <mc:AlternateContent xmlns:mc="http://schemas.openxmlformats.org/markup-compatibility/2006">
          <mc:Choice Requires="x14">
            <control shapeId="4101" r:id="rId6" name="Check Box 5">
              <controlPr defaultSize="0" print="0" autoFill="0" autoLine="0" autoPict="0">
                <anchor moveWithCells="1">
                  <from>
                    <xdr:col>9</xdr:col>
                    <xdr:colOff>1247775</xdr:colOff>
                    <xdr:row>51</xdr:row>
                    <xdr:rowOff>19050</xdr:rowOff>
                  </from>
                  <to>
                    <xdr:col>9</xdr:col>
                    <xdr:colOff>1619250</xdr:colOff>
                    <xdr:row>52</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F4851D13-7A43-415F-A6BF-DB00FB857C6A}">
            <xm:f>'zdroj#1'!$T$17=TRUE</xm:f>
            <x14:dxf>
              <font>
                <color theme="0"/>
              </font>
              <fill>
                <patternFill>
                  <bgColor theme="0"/>
                </patternFill>
              </fill>
              <border>
                <left/>
                <right/>
                <top/>
                <bottom/>
                <vertical/>
                <horizontal/>
              </border>
            </x14:dxf>
          </x14:cfRule>
          <xm:sqref>D12:H13 D41:I51</xm:sqref>
        </x14:conditionalFormatting>
        <x14:conditionalFormatting xmlns:xm="http://schemas.microsoft.com/office/excel/2006/main">
          <x14:cfRule type="expression" priority="1" id="{1022B778-2E44-446F-9F53-C5D06E1BA6F2}">
            <xm:f>'zdroj#1'!$S$18=1</xm:f>
            <x14:dxf>
              <font>
                <b/>
                <i val="0"/>
                <color theme="1"/>
              </font>
              <fill>
                <patternFill>
                  <bgColor rgb="FFFFFF99"/>
                </patternFill>
              </fill>
              <border>
                <left style="thin">
                  <color auto="1"/>
                </left>
                <right style="thin">
                  <color auto="1"/>
                </right>
                <top style="thin">
                  <color auto="1"/>
                </top>
                <bottom style="thin">
                  <color auto="1"/>
                </bottom>
                <vertical/>
                <horizontal/>
              </border>
            </x14:dxf>
          </x14:cfRule>
          <xm:sqref>D38:H38</xm:sqref>
        </x14:conditionalFormatting>
      </x14:conditionalFormattings>
    </ext>
    <ext xmlns:x14="http://schemas.microsoft.com/office/spreadsheetml/2009/9/main" uri="{CCE6A557-97BC-4b89-ADB6-D9C93CAAB3DF}">
      <x14:dataValidations xmlns:xm="http://schemas.microsoft.com/office/excel/2006/main" count="14">
        <x14:dataValidation type="list" allowBlank="1" showInputMessage="1" showErrorMessage="1" xr:uid="{00000000-0002-0000-0400-000000000000}">
          <x14:formula1>
            <xm:f>'zdroj#1'!$Y$20:$Y$24</xm:f>
          </x14:formula1>
          <xm:sqref>G18:H18</xm:sqref>
        </x14:dataValidation>
        <x14:dataValidation type="list" allowBlank="1" showInputMessage="1" showErrorMessage="1" xr:uid="{00000000-0002-0000-0400-000001000000}">
          <x14:formula1>
            <xm:f>'zdroj#1'!$Z$20:$Z$24</xm:f>
          </x14:formula1>
          <xm:sqref>G19:H19</xm:sqref>
        </x14:dataValidation>
        <x14:dataValidation type="list" allowBlank="1" showInputMessage="1" showErrorMessage="1" xr:uid="{00000000-0002-0000-0400-000002000000}">
          <x14:formula1>
            <xm:f>'zdroj#1'!$AA$20:$AA$24</xm:f>
          </x14:formula1>
          <xm:sqref>G20:H20</xm:sqref>
        </x14:dataValidation>
        <x14:dataValidation type="list" allowBlank="1" showInputMessage="1" showErrorMessage="1" xr:uid="{00000000-0002-0000-0400-000003000000}">
          <x14:formula1>
            <xm:f>'zdroj#1'!$AB$20:$AB$26</xm:f>
          </x14:formula1>
          <xm:sqref>G21:H21</xm:sqref>
        </x14:dataValidation>
        <x14:dataValidation type="list" allowBlank="1" showInputMessage="1" showErrorMessage="1" xr:uid="{00000000-0002-0000-0400-000004000000}">
          <x14:formula1>
            <xm:f>'zdroj#1'!$AC$20:$AC$26</xm:f>
          </x14:formula1>
          <xm:sqref>G22:H22</xm:sqref>
        </x14:dataValidation>
        <x14:dataValidation type="list" allowBlank="1" showInputMessage="1" showErrorMessage="1" xr:uid="{00000000-0002-0000-0400-000005000000}">
          <x14:formula1>
            <xm:f>'zdroj#1'!$AD$20:$AD$25</xm:f>
          </x14:formula1>
          <xm:sqref>G24:H24</xm:sqref>
        </x14:dataValidation>
        <x14:dataValidation type="list" allowBlank="1" showInputMessage="1" showErrorMessage="1" xr:uid="{00000000-0002-0000-0400-000006000000}">
          <x14:formula1>
            <xm:f>'zdroj#1'!$AE$20:$AE$25</xm:f>
          </x14:formula1>
          <xm:sqref>G25:H25</xm:sqref>
        </x14:dataValidation>
        <x14:dataValidation type="list" allowBlank="1" showInputMessage="1" showErrorMessage="1" xr:uid="{00000000-0002-0000-0400-000007000000}">
          <x14:formula1>
            <xm:f>'zdroj#1'!$AF$20:$AF$24</xm:f>
          </x14:formula1>
          <xm:sqref>G26:H26</xm:sqref>
        </x14:dataValidation>
        <x14:dataValidation type="list" allowBlank="1" showInputMessage="1" showErrorMessage="1" xr:uid="{00000000-0002-0000-0400-000008000000}">
          <x14:formula1>
            <xm:f>'zdroj#1'!$AG$20:$AG$27</xm:f>
          </x14:formula1>
          <xm:sqref>G27:H27</xm:sqref>
        </x14:dataValidation>
        <x14:dataValidation type="list" allowBlank="1" showInputMessage="1" showErrorMessage="1" xr:uid="{00000000-0002-0000-0400-000009000000}">
          <x14:formula1>
            <xm:f>'zdroj#1'!$AH$20:$AH$26</xm:f>
          </x14:formula1>
          <xm:sqref>G28:H28</xm:sqref>
        </x14:dataValidation>
        <x14:dataValidation type="list" allowBlank="1" showInputMessage="1" showErrorMessage="1" xr:uid="{00000000-0002-0000-0400-00000A000000}">
          <x14:formula1>
            <xm:f>'zdroj#1'!$AI$20:$AI$23</xm:f>
          </x14:formula1>
          <xm:sqref>G29:H29</xm:sqref>
        </x14:dataValidation>
        <x14:dataValidation type="list" allowBlank="1" showInputMessage="1" showErrorMessage="1" xr:uid="{00000000-0002-0000-0400-00000B000000}">
          <x14:formula1>
            <xm:f>'zdroj#1'!$AJ$20:$AJ$24</xm:f>
          </x14:formula1>
          <xm:sqref>G30:H30</xm:sqref>
        </x14:dataValidation>
        <x14:dataValidation type="list" allowBlank="1" showInputMessage="1" showErrorMessage="1" xr:uid="{00000000-0002-0000-0400-00000C000000}">
          <x14:formula1>
            <xm:f>'zdroj#1'!$AK$20:$AK$22</xm:f>
          </x14:formula1>
          <xm:sqref>G31:H31</xm:sqref>
        </x14:dataValidation>
        <x14:dataValidation type="list" allowBlank="1" showInputMessage="1" showErrorMessage="1" xr:uid="{00000000-0002-0000-0400-00000D000000}">
          <x14:formula1>
            <xm:f>'zdroj#1'!$X$26:$X$29</xm:f>
          </x14:formula1>
          <xm:sqref>G16:H16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5">
    <tabColor theme="2" tint="-0.249977111117893"/>
  </sheetPr>
  <dimension ref="A1:G98"/>
  <sheetViews>
    <sheetView topLeftCell="A51" zoomScale="85" zoomScaleNormal="85" workbookViewId="0">
      <selection activeCell="C75" sqref="C75"/>
    </sheetView>
  </sheetViews>
  <sheetFormatPr defaultColWidth="0" defaultRowHeight="15.75" zeroHeight="1" x14ac:dyDescent="0.25"/>
  <cols>
    <col min="1" max="1" width="70.42578125" style="31" bestFit="1" customWidth="1"/>
    <col min="2" max="2" width="3.5703125" style="31" customWidth="1"/>
    <col min="3" max="3" width="56.42578125" style="42" customWidth="1"/>
    <col min="4" max="4" width="47.5703125" style="5" customWidth="1"/>
    <col min="5" max="5" width="8.28515625" style="31" customWidth="1"/>
    <col min="6" max="6" width="39.28515625" hidden="1" customWidth="1"/>
    <col min="7" max="7" width="4.7109375" hidden="1" customWidth="1"/>
    <col min="8" max="16384" width="59.42578125" hidden="1"/>
  </cols>
  <sheetData>
    <row r="1" spans="1:7" ht="15" x14ac:dyDescent="0.25">
      <c r="A1" s="554" t="s">
        <v>332</v>
      </c>
      <c r="B1" s="554"/>
      <c r="C1" s="554"/>
    </row>
    <row r="2" spans="1:7" ht="15" x14ac:dyDescent="0.25">
      <c r="A2" s="554"/>
      <c r="B2" s="554"/>
      <c r="C2" s="554"/>
    </row>
    <row r="3" spans="1:7" s="31" customFormat="1" ht="3" customHeight="1" x14ac:dyDescent="0.25">
      <c r="C3" s="42"/>
      <c r="D3" s="5"/>
    </row>
    <row r="4" spans="1:7" ht="15" x14ac:dyDescent="0.25">
      <c r="A4" s="555" t="s">
        <v>333</v>
      </c>
      <c r="B4" s="555"/>
      <c r="C4" s="555"/>
    </row>
    <row r="5" spans="1:7" ht="15" x14ac:dyDescent="0.25">
      <c r="A5" s="555"/>
      <c r="B5" s="555"/>
      <c r="C5" s="555"/>
    </row>
    <row r="6" spans="1:7" ht="31.5" x14ac:dyDescent="0.25">
      <c r="A6" s="318" t="s">
        <v>290</v>
      </c>
      <c r="B6" s="319"/>
      <c r="C6" s="320" t="s">
        <v>335</v>
      </c>
    </row>
    <row r="7" spans="1:7" ht="31.5" x14ac:dyDescent="0.25">
      <c r="A7" s="321" t="s">
        <v>380</v>
      </c>
      <c r="B7" s="319"/>
      <c r="C7" s="320" t="str">
        <f>'Hodnocení#1'!D10</f>
        <v>1.4.1 Dobudování a výstavba čistíren odpadních vod; dobudování a výstavba kanalizací</v>
      </c>
    </row>
    <row r="8" spans="1:7" x14ac:dyDescent="0.25">
      <c r="A8" s="321" t="s">
        <v>381</v>
      </c>
      <c r="B8" s="319"/>
      <c r="C8" s="332" t="str">
        <f>'zdroj#1'!N8</f>
        <v/>
      </c>
    </row>
    <row r="9" spans="1:7" x14ac:dyDescent="0.25">
      <c r="A9" s="321" t="s">
        <v>382</v>
      </c>
      <c r="B9" s="319"/>
      <c r="C9" s="320" t="str">
        <f>'zdroj#1'!N9</f>
        <v/>
      </c>
    </row>
    <row r="10" spans="1:7" x14ac:dyDescent="0.25">
      <c r="A10" s="324" t="s">
        <v>291</v>
      </c>
      <c r="B10" s="319"/>
      <c r="C10" s="320" t="str">
        <f>'Projekt#1'!C5</f>
        <v>Obec Stěžery</v>
      </c>
    </row>
    <row r="11" spans="1:7" x14ac:dyDescent="0.25">
      <c r="A11" s="318" t="s">
        <v>292</v>
      </c>
      <c r="B11" s="319"/>
      <c r="C11" s="320" t="str">
        <f>'Projekt#1'!C6</f>
        <v>Odkanalizování obce Stěžery a Stěžírky - 1. etapa</v>
      </c>
    </row>
    <row r="12" spans="1:7" x14ac:dyDescent="0.25">
      <c r="A12" s="324" t="s">
        <v>293</v>
      </c>
      <c r="B12" s="319"/>
      <c r="C12" s="323" t="str">
        <f>'Hodnocení#1'!D7</f>
        <v>CZ.05.XXX</v>
      </c>
      <c r="F12" t="s">
        <v>399</v>
      </c>
    </row>
    <row r="13" spans="1:7" x14ac:dyDescent="0.25">
      <c r="A13" s="324" t="s">
        <v>96</v>
      </c>
      <c r="B13" s="319"/>
      <c r="C13" s="322" t="str">
        <f>'Hodnocení#1'!D8</f>
        <v>MŽP_42.výzva, SC 1.4, opatření 1.4.1,1.4.2, 1.4.3, kolová/soutěžní</v>
      </c>
      <c r="F13" t="s">
        <v>409</v>
      </c>
    </row>
    <row r="14" spans="1:7" x14ac:dyDescent="0.25">
      <c r="A14" s="324" t="s">
        <v>294</v>
      </c>
      <c r="B14" s="319"/>
      <c r="C14" s="322" t="str">
        <f>'Hodnocení#1'!D3</f>
        <v>Výzva č. 05_23_042</v>
      </c>
      <c r="F14" t="s">
        <v>410</v>
      </c>
    </row>
    <row r="15" spans="1:7" x14ac:dyDescent="0.25">
      <c r="A15" s="318" t="s">
        <v>398</v>
      </c>
      <c r="B15" s="325"/>
      <c r="C15" s="356" t="s">
        <v>399</v>
      </c>
      <c r="F15" t="s">
        <v>411</v>
      </c>
    </row>
    <row r="16" spans="1:7" x14ac:dyDescent="0.25">
      <c r="A16" s="318" t="s">
        <v>402</v>
      </c>
      <c r="B16" s="319"/>
      <c r="C16" s="357" t="s">
        <v>401</v>
      </c>
      <c r="G16" t="s">
        <v>401</v>
      </c>
    </row>
    <row r="17" spans="1:7" x14ac:dyDescent="0.25">
      <c r="A17" s="318" t="s">
        <v>295</v>
      </c>
      <c r="B17" s="319"/>
      <c r="C17" s="357">
        <v>0</v>
      </c>
      <c r="G17" t="s">
        <v>331</v>
      </c>
    </row>
    <row r="18" spans="1:7" x14ac:dyDescent="0.25">
      <c r="A18" s="318" t="s">
        <v>297</v>
      </c>
      <c r="B18" s="319"/>
      <c r="C18" s="357">
        <v>0</v>
      </c>
      <c r="G18" t="s">
        <v>336</v>
      </c>
    </row>
    <row r="19" spans="1:7" x14ac:dyDescent="0.25">
      <c r="A19" s="318" t="s">
        <v>296</v>
      </c>
      <c r="B19" s="319"/>
      <c r="C19" s="333">
        <f>C17-C18</f>
        <v>0</v>
      </c>
    </row>
    <row r="20" spans="1:7" x14ac:dyDescent="0.25">
      <c r="A20" s="318" t="s">
        <v>298</v>
      </c>
      <c r="B20" s="319"/>
      <c r="C20" s="357">
        <v>0</v>
      </c>
      <c r="D20" s="315"/>
    </row>
    <row r="21" spans="1:7" x14ac:dyDescent="0.25">
      <c r="A21" s="321" t="s">
        <v>400</v>
      </c>
      <c r="B21" s="319"/>
      <c r="C21" s="333">
        <f>C18-C20</f>
        <v>0</v>
      </c>
    </row>
    <row r="22" spans="1:7" x14ac:dyDescent="0.25">
      <c r="A22" s="321" t="s">
        <v>299</v>
      </c>
      <c r="B22" s="319"/>
      <c r="C22" s="322" t="str">
        <f>'zdroj#1'!B72</f>
        <v>Ne</v>
      </c>
      <c r="D22" s="31"/>
    </row>
    <row r="23" spans="1:7" x14ac:dyDescent="0.25">
      <c r="A23" s="318" t="s">
        <v>301</v>
      </c>
      <c r="B23" s="319"/>
      <c r="C23" s="326">
        <f>IFERROR('Hodnocení#1'!E32,0)</f>
        <v>46</v>
      </c>
    </row>
    <row r="24" spans="1:7" x14ac:dyDescent="0.25">
      <c r="A24" s="318" t="s">
        <v>300</v>
      </c>
      <c r="B24" s="319"/>
      <c r="C24" s="326">
        <f>IFERROR('Hodnocení#1'!I32,0)</f>
        <v>0</v>
      </c>
    </row>
    <row r="25" spans="1:7" x14ac:dyDescent="0.25">
      <c r="A25" s="327" t="s">
        <v>302</v>
      </c>
      <c r="B25" s="319"/>
      <c r="C25" s="322" t="str">
        <f>IF(OR('Hodnocení#1'!E31=0,'Hodnocení#1'!E30=0,'Hodnocení#1'!E29=0,'Hodnocení#1'!E26=0,'Hodnocení#1'!E25=0,'Hodnocení#1'!G25=0,'Hodnocení#1'!G26=0,'Hodnocení#1'!G29=0,'Hodnocení#1'!G30=0,'Hodnocení#1'!G31=0),"Ano","Ne")</f>
        <v>Ne</v>
      </c>
      <c r="D25" s="31"/>
    </row>
    <row r="26" spans="1:7" x14ac:dyDescent="0.25">
      <c r="A26" s="318" t="s">
        <v>303</v>
      </c>
      <c r="B26" s="319"/>
      <c r="C26" s="322" t="str">
        <f>'Hodnocení#1'!D44</f>
        <v>Nevybráno</v>
      </c>
    </row>
    <row r="27" spans="1:7" x14ac:dyDescent="0.25">
      <c r="A27" s="318" t="s">
        <v>304</v>
      </c>
      <c r="B27" s="319"/>
      <c r="C27" s="322" t="str">
        <f>'Hodnocení#1'!G44</f>
        <v>Nejprve vyber HA</v>
      </c>
    </row>
    <row r="28" spans="1:7" x14ac:dyDescent="0.25">
      <c r="A28" s="318" t="s">
        <v>305</v>
      </c>
      <c r="B28" s="319"/>
      <c r="C28" s="322" t="str">
        <f>'Hodnocení#1'!E50</f>
        <v>Nejprve vyber HA</v>
      </c>
    </row>
    <row r="29" spans="1:7" ht="7.5" customHeight="1" x14ac:dyDescent="0.25"/>
    <row r="30" spans="1:7" ht="29.25" customHeight="1" x14ac:dyDescent="0.25">
      <c r="A30" s="556" t="s">
        <v>334</v>
      </c>
      <c r="B30" s="556"/>
      <c r="C30" s="556"/>
    </row>
    <row r="31" spans="1:7" x14ac:dyDescent="0.25">
      <c r="A31" s="318" t="s">
        <v>306</v>
      </c>
      <c r="B31" s="328"/>
      <c r="C31" s="326">
        <f>'Hodnocení#1'!I16</f>
        <v>0</v>
      </c>
    </row>
    <row r="32" spans="1:7" x14ac:dyDescent="0.25">
      <c r="A32" s="318" t="s">
        <v>163</v>
      </c>
      <c r="B32" s="328"/>
      <c r="C32" s="326">
        <f>'Hodnocení#1'!I18</f>
        <v>0</v>
      </c>
    </row>
    <row r="33" spans="1:3" x14ac:dyDescent="0.25">
      <c r="A33" s="318" t="s">
        <v>383</v>
      </c>
      <c r="B33" s="328"/>
      <c r="C33" s="326">
        <f>'Hodnocení#1'!I19</f>
        <v>0</v>
      </c>
    </row>
    <row r="34" spans="1:3" x14ac:dyDescent="0.25">
      <c r="A34" s="327" t="s">
        <v>397</v>
      </c>
      <c r="B34" s="328"/>
      <c r="C34" s="326">
        <f>'Hodnocení#1'!I20</f>
        <v>0</v>
      </c>
    </row>
    <row r="35" spans="1:3" x14ac:dyDescent="0.25">
      <c r="A35" s="318" t="s">
        <v>384</v>
      </c>
      <c r="B35" s="328"/>
      <c r="C35" s="326">
        <f>'Hodnocení#1'!I21</f>
        <v>0</v>
      </c>
    </row>
    <row r="36" spans="1:3" x14ac:dyDescent="0.25">
      <c r="A36" s="318" t="s">
        <v>167</v>
      </c>
      <c r="B36" s="328"/>
      <c r="C36" s="326">
        <f>'Hodnocení#1'!I22</f>
        <v>0</v>
      </c>
    </row>
    <row r="37" spans="1:3" x14ac:dyDescent="0.25">
      <c r="A37" s="318" t="s">
        <v>307</v>
      </c>
      <c r="B37" s="328"/>
      <c r="C37" s="326">
        <f>SUM('Hodnocení#1'!I24:I31)</f>
        <v>0</v>
      </c>
    </row>
    <row r="38" spans="1:3" x14ac:dyDescent="0.25">
      <c r="A38" s="318" t="s">
        <v>308</v>
      </c>
      <c r="B38" s="328"/>
      <c r="C38" s="326">
        <f>'zdroj#1'!B71</f>
        <v>5</v>
      </c>
    </row>
    <row r="39" spans="1:3" x14ac:dyDescent="0.25">
      <c r="A39" s="318" t="s">
        <v>309</v>
      </c>
      <c r="B39" s="328"/>
      <c r="C39" s="326" t="str">
        <f>C25</f>
        <v>Ne</v>
      </c>
    </row>
    <row r="40" spans="1:3" x14ac:dyDescent="0.25">
      <c r="A40" s="329"/>
      <c r="B40" s="330"/>
      <c r="C40" s="322"/>
    </row>
    <row r="41" spans="1:3" x14ac:dyDescent="0.25">
      <c r="A41" s="318" t="s">
        <v>310</v>
      </c>
      <c r="B41" s="328"/>
      <c r="C41" s="322" t="str">
        <f>CHOOSE('zdroj#1'!A1,"Nevybráno",'zdroj#1'!B2,'zdroj#1'!B3,'zdroj#1'!B4)</f>
        <v>aglomerace pod 2 000 EO</v>
      </c>
    </row>
    <row r="42" spans="1:3" x14ac:dyDescent="0.25">
      <c r="A42" s="327" t="s">
        <v>311</v>
      </c>
      <c r="B42" s="328"/>
      <c r="C42" s="322">
        <f>'Projekt#1'!C40</f>
        <v>3945494.49</v>
      </c>
    </row>
    <row r="43" spans="1:3" x14ac:dyDescent="0.25">
      <c r="A43" s="327" t="s">
        <v>312</v>
      </c>
      <c r="B43" s="328"/>
      <c r="C43" s="322">
        <f>'Projekt#1'!C41</f>
        <v>31461738.240000002</v>
      </c>
    </row>
    <row r="44" spans="1:3" x14ac:dyDescent="0.25">
      <c r="A44" s="331" t="s">
        <v>385</v>
      </c>
      <c r="B44" s="328"/>
      <c r="C44" s="322">
        <f>'Projekt#1'!C44</f>
        <v>31420562.010000002</v>
      </c>
    </row>
    <row r="45" spans="1:3" ht="31.5" x14ac:dyDescent="0.25">
      <c r="A45" s="331" t="s">
        <v>386</v>
      </c>
      <c r="B45" s="328"/>
      <c r="C45" s="322">
        <f>'Projekt#1'!C45</f>
        <v>0</v>
      </c>
    </row>
    <row r="46" spans="1:3" x14ac:dyDescent="0.25">
      <c r="A46" s="331" t="s">
        <v>313</v>
      </c>
      <c r="B46" s="328"/>
      <c r="C46" s="322">
        <f>'Projekt#1'!G76</f>
        <v>4.57</v>
      </c>
    </row>
    <row r="47" spans="1:3" x14ac:dyDescent="0.25">
      <c r="A47" s="331" t="s">
        <v>314</v>
      </c>
      <c r="B47" s="328"/>
      <c r="C47" s="322">
        <f>'Projekt#1'!G77</f>
        <v>0</v>
      </c>
    </row>
    <row r="48" spans="1:3" x14ac:dyDescent="0.25">
      <c r="A48" s="331" t="s">
        <v>352</v>
      </c>
      <c r="B48" s="328"/>
      <c r="C48" s="326">
        <f>'Projekt#1'!D84</f>
        <v>0</v>
      </c>
    </row>
    <row r="49" spans="1:3" x14ac:dyDescent="0.25">
      <c r="A49" s="331" t="s">
        <v>387</v>
      </c>
      <c r="B49" s="328"/>
      <c r="C49" s="326">
        <f>'Projekt#1'!D85</f>
        <v>0</v>
      </c>
    </row>
    <row r="50" spans="1:3" x14ac:dyDescent="0.25">
      <c r="A50" s="331" t="s">
        <v>55</v>
      </c>
      <c r="B50" s="328"/>
      <c r="C50" s="326">
        <f>'Projekt#1'!D93</f>
        <v>0</v>
      </c>
    </row>
    <row r="51" spans="1:3" x14ac:dyDescent="0.25">
      <c r="A51" s="331" t="s">
        <v>315</v>
      </c>
      <c r="B51" s="328"/>
      <c r="C51" s="326">
        <f>'Projekt#1'!D97</f>
        <v>0</v>
      </c>
    </row>
    <row r="52" spans="1:3" x14ac:dyDescent="0.25">
      <c r="A52" s="331" t="s">
        <v>316</v>
      </c>
      <c r="B52" s="328"/>
      <c r="C52" s="322">
        <f>'Projekt#1'!D138</f>
        <v>3906</v>
      </c>
    </row>
    <row r="53" spans="1:3" x14ac:dyDescent="0.25">
      <c r="A53" s="331" t="s">
        <v>317</v>
      </c>
      <c r="B53" s="328"/>
      <c r="C53" s="322">
        <f>'Projekt#1'!D141</f>
        <v>2903</v>
      </c>
    </row>
    <row r="54" spans="1:3" x14ac:dyDescent="0.25">
      <c r="A54" s="331" t="s">
        <v>388</v>
      </c>
      <c r="B54" s="328"/>
      <c r="C54" s="322">
        <f>'Projekt#1'!D142</f>
        <v>804</v>
      </c>
    </row>
    <row r="55" spans="1:3" x14ac:dyDescent="0.25">
      <c r="A55" s="331" t="s">
        <v>318</v>
      </c>
      <c r="B55" s="328"/>
      <c r="C55" s="322">
        <f>'Projekt#1'!D143</f>
        <v>199</v>
      </c>
    </row>
    <row r="56" spans="1:3" x14ac:dyDescent="0.25">
      <c r="A56" s="331" t="s">
        <v>319</v>
      </c>
      <c r="B56" s="328"/>
      <c r="C56" s="326">
        <f>'Projekt#1'!D152</f>
        <v>110</v>
      </c>
    </row>
    <row r="57" spans="1:3" x14ac:dyDescent="0.25">
      <c r="A57" s="331" t="s">
        <v>320</v>
      </c>
      <c r="B57" s="328"/>
      <c r="C57" s="322">
        <f>'Projekt#1'!D144</f>
        <v>804</v>
      </c>
    </row>
    <row r="58" spans="1:3" x14ac:dyDescent="0.25">
      <c r="A58" s="331" t="s">
        <v>321</v>
      </c>
      <c r="B58" s="328"/>
      <c r="C58" s="322">
        <f>'Projekt#1'!D145</f>
        <v>0</v>
      </c>
    </row>
    <row r="59" spans="1:3" x14ac:dyDescent="0.25">
      <c r="A59" s="331" t="s">
        <v>322</v>
      </c>
      <c r="B59" s="328"/>
      <c r="C59" s="322">
        <f>'Projekt#1'!D146</f>
        <v>0</v>
      </c>
    </row>
    <row r="60" spans="1:3" x14ac:dyDescent="0.25">
      <c r="A60" s="331" t="s">
        <v>323</v>
      </c>
      <c r="B60" s="328"/>
      <c r="C60" s="322">
        <f>'Projekt#1'!D148</f>
        <v>199</v>
      </c>
    </row>
    <row r="61" spans="1:3" x14ac:dyDescent="0.25">
      <c r="A61" s="331" t="s">
        <v>324</v>
      </c>
      <c r="B61" s="328"/>
      <c r="C61" s="322">
        <f>'Projekt#1'!D149</f>
        <v>0</v>
      </c>
    </row>
    <row r="62" spans="1:3" x14ac:dyDescent="0.25">
      <c r="A62" s="331" t="s">
        <v>325</v>
      </c>
      <c r="B62" s="328"/>
      <c r="C62" s="322">
        <f>'Projekt#1'!D150</f>
        <v>0</v>
      </c>
    </row>
    <row r="63" spans="1:3" x14ac:dyDescent="0.25">
      <c r="A63" s="331" t="s">
        <v>389</v>
      </c>
      <c r="B63" s="328"/>
      <c r="C63" s="322">
        <f>'Projekt#1'!D147</f>
        <v>0</v>
      </c>
    </row>
    <row r="64" spans="1:3" x14ac:dyDescent="0.25">
      <c r="A64" s="331" t="s">
        <v>390</v>
      </c>
      <c r="B64" s="328"/>
      <c r="C64" s="322">
        <f>'Hodnocení#1'!I24</f>
        <v>0</v>
      </c>
    </row>
    <row r="65" spans="1:3" x14ac:dyDescent="0.25">
      <c r="A65" s="331" t="s">
        <v>391</v>
      </c>
      <c r="B65" s="328"/>
      <c r="C65" s="322">
        <f>'zdroj#1'!A64</f>
        <v>321883.93390909093</v>
      </c>
    </row>
    <row r="66" spans="1:3" x14ac:dyDescent="0.25">
      <c r="A66" s="331" t="s">
        <v>392</v>
      </c>
      <c r="B66" s="328"/>
      <c r="C66" s="322">
        <f>'Hodnocení#1'!I25</f>
        <v>0</v>
      </c>
    </row>
    <row r="67" spans="1:3" x14ac:dyDescent="0.25">
      <c r="A67" s="331" t="s">
        <v>393</v>
      </c>
      <c r="B67" s="328"/>
      <c r="C67" s="322">
        <f>'Hodnocení#1'!I26</f>
        <v>0</v>
      </c>
    </row>
    <row r="68" spans="1:3" x14ac:dyDescent="0.25">
      <c r="A68" s="331" t="s">
        <v>326</v>
      </c>
      <c r="B68" s="328"/>
      <c r="C68" s="322">
        <f>'Hodnocení#1'!I27</f>
        <v>0</v>
      </c>
    </row>
    <row r="69" spans="1:3" x14ac:dyDescent="0.25">
      <c r="A69" s="331" t="s">
        <v>327</v>
      </c>
      <c r="B69" s="328"/>
      <c r="C69" s="322">
        <f>IFERROR('zdroj#1'!N59,0)</f>
        <v>285641.47281818185</v>
      </c>
    </row>
    <row r="70" spans="1:3" x14ac:dyDescent="0.25">
      <c r="A70" s="331" t="s">
        <v>328</v>
      </c>
      <c r="B70" s="328"/>
      <c r="C70" s="322">
        <f>'Hodnocení#1'!I28</f>
        <v>0</v>
      </c>
    </row>
    <row r="71" spans="1:3" x14ac:dyDescent="0.25">
      <c r="A71" s="331" t="s">
        <v>330</v>
      </c>
      <c r="B71" s="328"/>
      <c r="C71" s="322">
        <f>IFERROR('zdroj#1'!N63,0)</f>
        <v>31326.58226321037</v>
      </c>
    </row>
    <row r="72" spans="1:3" x14ac:dyDescent="0.25">
      <c r="A72" s="331" t="s">
        <v>394</v>
      </c>
      <c r="B72" s="328"/>
      <c r="C72" s="322">
        <f>'Hodnocení#1'!I29</f>
        <v>0</v>
      </c>
    </row>
    <row r="73" spans="1:3" x14ac:dyDescent="0.25">
      <c r="A73" s="331" t="s">
        <v>395</v>
      </c>
      <c r="B73" s="328"/>
      <c r="C73" s="322">
        <f>'Hodnocení#1'!I30</f>
        <v>0</v>
      </c>
    </row>
    <row r="74" spans="1:3" x14ac:dyDescent="0.25">
      <c r="A74" s="331" t="s">
        <v>396</v>
      </c>
      <c r="B74" s="328"/>
      <c r="C74" s="322">
        <f>'Hodnocení#1'!I31</f>
        <v>0</v>
      </c>
    </row>
    <row r="75" spans="1:3" x14ac:dyDescent="0.25">
      <c r="A75" s="316" t="s">
        <v>329</v>
      </c>
      <c r="B75" s="328"/>
      <c r="C75" s="358">
        <v>0</v>
      </c>
    </row>
    <row r="76" spans="1:3" x14ac:dyDescent="0.25">
      <c r="A76" s="327" t="s">
        <v>440</v>
      </c>
      <c r="B76" s="328"/>
      <c r="C76" s="367">
        <f>'Projekt#1'!C42</f>
        <v>0</v>
      </c>
    </row>
    <row r="77" spans="1:3" x14ac:dyDescent="0.25">
      <c r="A77" s="327" t="s">
        <v>439</v>
      </c>
      <c r="B77" s="328"/>
      <c r="C77" s="367">
        <f>'Projekt#1'!C43</f>
        <v>0</v>
      </c>
    </row>
    <row r="78" spans="1:3" x14ac:dyDescent="0.25"/>
    <row r="79" spans="1:3" x14ac:dyDescent="0.25"/>
    <row r="80" spans="1:3" x14ac:dyDescent="0.25">
      <c r="A80" s="44" t="str">
        <f>'Hodnocení#1'!D44</f>
        <v>Nevybráno</v>
      </c>
      <c r="B80" s="38"/>
      <c r="C80" s="43" t="str">
        <f>'Hodnocení#1'!G44</f>
        <v>Nejprve vyber HA</v>
      </c>
    </row>
    <row r="81" spans="1:3" x14ac:dyDescent="0.25">
      <c r="A81" s="44" t="str">
        <f>'Hodnocení#1'!D45</f>
        <v>Hodnotitel "A"</v>
      </c>
      <c r="B81" s="38"/>
      <c r="C81" s="43" t="str">
        <f>'Hodnocení#1'!G45</f>
        <v>Hodnotitel "B"</v>
      </c>
    </row>
    <row r="82" spans="1:3" x14ac:dyDescent="0.25">
      <c r="A82" s="38"/>
      <c r="B82" s="38"/>
    </row>
    <row r="83" spans="1:3" x14ac:dyDescent="0.25">
      <c r="A83" s="38"/>
      <c r="B83" s="38"/>
    </row>
    <row r="84" spans="1:3" x14ac:dyDescent="0.25">
      <c r="A84" s="38"/>
      <c r="B84" s="38"/>
    </row>
    <row r="85" spans="1:3" x14ac:dyDescent="0.25">
      <c r="A85" s="557" t="str">
        <f>'Hodnocení#1'!E50</f>
        <v>Nejprve vyber HA</v>
      </c>
      <c r="B85" s="557"/>
      <c r="C85" s="557"/>
    </row>
    <row r="86" spans="1:3" x14ac:dyDescent="0.25">
      <c r="A86" s="557" t="str">
        <f>'Hodnocení#1'!E51</f>
        <v>Schvalovatel</v>
      </c>
      <c r="B86" s="557"/>
      <c r="C86" s="557"/>
    </row>
    <row r="87" spans="1:3" x14ac:dyDescent="0.25">
      <c r="A87" s="38"/>
      <c r="B87" s="38"/>
    </row>
    <row r="88" spans="1:3" x14ac:dyDescent="0.25">
      <c r="A88" s="38"/>
      <c r="B88" s="38"/>
    </row>
    <row r="89" spans="1:3" x14ac:dyDescent="0.25">
      <c r="A89" s="38"/>
      <c r="B89" s="38"/>
    </row>
    <row r="90" spans="1:3" hidden="1" x14ac:dyDescent="0.25">
      <c r="A90" s="38"/>
      <c r="B90" s="38"/>
    </row>
    <row r="91" spans="1:3" x14ac:dyDescent="0.25"/>
    <row r="92" spans="1:3" x14ac:dyDescent="0.25"/>
    <row r="93" spans="1:3" x14ac:dyDescent="0.25"/>
    <row r="94" spans="1:3" x14ac:dyDescent="0.25"/>
    <row r="95" spans="1:3" x14ac:dyDescent="0.25"/>
    <row r="96" spans="1:3" x14ac:dyDescent="0.25"/>
    <row r="97" x14ac:dyDescent="0.25"/>
    <row r="98" x14ac:dyDescent="0.25"/>
  </sheetData>
  <sheetProtection algorithmName="SHA-512" hashValue="NNg4WaxqYTk9K+yu2ZvhStEeEPnK3tdqzyHDmVYzbIjAOEuBrAowOr1EYgDYtXu7HGTFuEq/T+ZMvoILeLr5Dw==" saltValue="ByFxzrahkQt8cY6+89D39g==" spinCount="100000" sheet="1" selectLockedCells="1"/>
  <dataConsolidate/>
  <mergeCells count="5">
    <mergeCell ref="A1:C2"/>
    <mergeCell ref="A4:C5"/>
    <mergeCell ref="A30:C30"/>
    <mergeCell ref="A85:C85"/>
    <mergeCell ref="A86:C86"/>
  </mergeCells>
  <dataValidations count="2">
    <dataValidation type="list" allowBlank="1" showInputMessage="1" showErrorMessage="1" sqref="C15" xr:uid="{00000000-0002-0000-0500-000000000000}">
      <formula1>$F$12:$F$15</formula1>
    </dataValidation>
    <dataValidation type="list" allowBlank="1" showInputMessage="1" showErrorMessage="1" sqref="C16" xr:uid="{00000000-0002-0000-0500-000001000000}">
      <formula1>$G$16:$G$18</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Pokyny_k_vyplnění</vt:lpstr>
      <vt:lpstr>Popis_projektu</vt:lpstr>
      <vt:lpstr>Projekt#1</vt:lpstr>
      <vt:lpstr>zdroj#1</vt:lpstr>
      <vt:lpstr>Hodnocení#1</vt:lpstr>
      <vt:lpstr>výstup#1</vt:lpstr>
      <vt:lpstr>'Hodnocení#1'!Oblast_tisku</vt:lpstr>
      <vt:lpstr>'Projekt#1'!Oblast_tisku</vt:lpstr>
      <vt:lpstr>'výstup#1'!Oblast_tisku</vt:lpstr>
    </vt:vector>
  </TitlesOfParts>
  <Company>sfzp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Pecha Martin</dc:creator>
  <cp:lastModifiedBy>Floriánková Daniela</cp:lastModifiedBy>
  <cp:lastPrinted>2023-03-14T09:31:39Z</cp:lastPrinted>
  <dcterms:created xsi:type="dcterms:W3CDTF">2022-04-22T13:35:06Z</dcterms:created>
  <dcterms:modified xsi:type="dcterms:W3CDTF">2024-11-20T11:56:16Z</dcterms:modified>
</cp:coreProperties>
</file>